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LLEIDA\"/>
    </mc:Choice>
  </mc:AlternateContent>
  <workbookProtection workbookAlgorithmName="SHA-512" workbookHashValue="CVwpzo6i7I/xQWhWpA2FfM+iteErylZkYABvh2xPsd1CWpYVJeqKMB1Kmd6ufclMfi3UJMlgPsa1qhvWgAl26g==" workbookSaltValue="HJIJsQgXK3ErXIx4VEYgHA==" workbookSpinCount="100000" lockStructure="1"/>
  <bookViews>
    <workbookView xWindow="-105" yWindow="-105" windowWidth="25815" windowHeight="14025"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33" i="20"/>
  <c r="BA19" i="20"/>
  <c r="BA31" i="20"/>
  <c r="BA14" i="20"/>
  <c r="EY23" i="19"/>
  <c r="EY14" i="19"/>
  <c r="EY23" i="8"/>
  <c r="EY14" i="8"/>
  <c r="EY23" i="13"/>
  <c r="EY14" i="13"/>
  <c r="EX23" i="19"/>
  <c r="EX14" i="19"/>
  <c r="BA32" i="20"/>
  <c r="EX23" i="8" l="1"/>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X26" i="21" l="1"/>
  <c r="EW31" i="8"/>
  <c r="AW14" i="11"/>
  <c r="EV31" i="19"/>
  <c r="EW31" i="19"/>
  <c r="AU14" i="17"/>
  <c r="AW23" i="11"/>
  <c r="AW26" i="11" s="1"/>
  <c r="AW30" i="11" s="1"/>
  <c r="BP23" i="16"/>
  <c r="BP26" i="16" s="1"/>
  <c r="BP30" i="16" s="1"/>
  <c r="BP14" i="16"/>
  <c r="AX14" i="21"/>
  <c r="AX30" i="21"/>
  <c r="AY31" i="20"/>
  <c r="AW23" i="20"/>
  <c r="AW26" i="20" s="1"/>
  <c r="AW14" i="20"/>
  <c r="AU23" i="17"/>
  <c r="BR30" i="16"/>
  <c r="EV31" i="8"/>
  <c r="EV31" i="13"/>
  <c r="AW32" i="20"/>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S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P31" i="19" s="1"/>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Z14" i="17" s="1"/>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BE11" i="13" s="1"/>
  <c r="AZ12" i="13"/>
  <c r="AZ11" i="13"/>
  <c r="AY12" i="13"/>
  <c r="AY11" i="13"/>
  <c r="BG11" i="13" s="1"/>
  <c r="BB9" i="13"/>
  <c r="BA9" i="13"/>
  <c r="AY9" i="13"/>
  <c r="BC12" i="13"/>
  <c r="BC11" i="13"/>
  <c r="BC10" i="13"/>
  <c r="BB10" i="13"/>
  <c r="BA10" i="13"/>
  <c r="AZ10" i="13"/>
  <c r="AY10" i="13"/>
  <c r="BC9" i="13"/>
  <c r="BC29" i="13"/>
  <c r="BB29" i="13"/>
  <c r="BA29" i="13"/>
  <c r="AZ29" i="13"/>
  <c r="AY29" i="13"/>
  <c r="BC28" i="13"/>
  <c r="BB28" i="13"/>
  <c r="BA28" i="13"/>
  <c r="AZ28" i="13"/>
  <c r="AY28" i="13"/>
  <c r="BC22" i="13"/>
  <c r="BB22" i="13"/>
  <c r="BA22" i="13"/>
  <c r="BF22" i="13" s="1"/>
  <c r="AZ22" i="13"/>
  <c r="BG22" i="13" s="1"/>
  <c r="AY22" i="13"/>
  <c r="BC21" i="13"/>
  <c r="BB21" i="13"/>
  <c r="BA21" i="13"/>
  <c r="AZ21" i="13"/>
  <c r="AY21" i="13"/>
  <c r="BC20" i="13"/>
  <c r="BB20" i="13"/>
  <c r="BA20" i="13"/>
  <c r="AZ20" i="13"/>
  <c r="AY20" i="13"/>
  <c r="BC19" i="13"/>
  <c r="BB19" i="13"/>
  <c r="BA19" i="13"/>
  <c r="AZ19" i="13"/>
  <c r="AY19" i="13"/>
  <c r="BC18" i="13"/>
  <c r="BB18" i="13"/>
  <c r="BA18" i="13"/>
  <c r="AZ18" i="13"/>
  <c r="AY18" i="13"/>
  <c r="BC17" i="13"/>
  <c r="BF17" i="13" s="1"/>
  <c r="BG17" i="13"/>
  <c r="BC16" i="13"/>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K31" i="8" s="1"/>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E23" i="7" s="1"/>
  <c r="K23" i="8"/>
  <c r="D23" i="7" s="1"/>
  <c r="J23" i="8"/>
  <c r="C23" i="7" s="1"/>
  <c r="I23" i="8"/>
  <c r="D23" i="12" s="1"/>
  <c r="CF14" i="8"/>
  <c r="N14" i="12" s="1"/>
  <c r="CE14" i="8"/>
  <c r="M14" i="12" s="1"/>
  <c r="CD14" i="8"/>
  <c r="CC14" i="8"/>
  <c r="CB14" i="8"/>
  <c r="CA14" i="8"/>
  <c r="BL14" i="8"/>
  <c r="BK14" i="8"/>
  <c r="BJ14" i="8"/>
  <c r="BI14" i="8"/>
  <c r="BH14" i="8"/>
  <c r="AR14" i="8"/>
  <c r="C14" i="3" s="1"/>
  <c r="AQ14" i="8"/>
  <c r="AP14" i="8"/>
  <c r="AO14" i="8"/>
  <c r="B14" i="3" s="1"/>
  <c r="AN14" i="8"/>
  <c r="AM14" i="8"/>
  <c r="AL14" i="8"/>
  <c r="AK14" i="8"/>
  <c r="AJ14" i="8"/>
  <c r="T14" i="12" s="1"/>
  <c r="AI14" i="8"/>
  <c r="AH14" i="8"/>
  <c r="R14" i="12" s="1"/>
  <c r="AG14" i="8"/>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C29" i="11" s="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J25" i="11"/>
  <c r="J26" i="11" s="1"/>
  <c r="I25" i="11"/>
  <c r="I26" i="11" s="1"/>
  <c r="J22" i="11"/>
  <c r="I22" i="11"/>
  <c r="J21" i="11"/>
  <c r="J20" i="11"/>
  <c r="I20" i="11"/>
  <c r="J19" i="11"/>
  <c r="I19" i="11"/>
  <c r="J18" i="11"/>
  <c r="I18" i="11"/>
  <c r="J17" i="11"/>
  <c r="I17" i="11"/>
  <c r="J16" i="11"/>
  <c r="I16" i="11"/>
  <c r="J13" i="11"/>
  <c r="I13" i="11"/>
  <c r="J12" i="11"/>
  <c r="J11" i="11"/>
  <c r="J10" i="11"/>
  <c r="I10" i="11"/>
  <c r="J9" i="11"/>
  <c r="H29" i="11"/>
  <c r="H28" i="11"/>
  <c r="N28" i="11" s="1"/>
  <c r="H25" i="11"/>
  <c r="H22" i="11"/>
  <c r="H21" i="11"/>
  <c r="H20" i="11"/>
  <c r="N20" i="11" s="1"/>
  <c r="H19" i="11"/>
  <c r="N19" i="11" s="1"/>
  <c r="H18" i="11"/>
  <c r="N18" i="11" s="1"/>
  <c r="H17" i="11"/>
  <c r="N17" i="11" s="1"/>
  <c r="H16" i="11"/>
  <c r="N16" i="11" s="1"/>
  <c r="H13" i="11"/>
  <c r="N13" i="11" s="1"/>
  <c r="H10" i="1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B28" i="11"/>
  <c r="AC28" i="11" s="1"/>
  <c r="AB25" i="11"/>
  <c r="AB22" i="11"/>
  <c r="AB21" i="11"/>
  <c r="AB20" i="11"/>
  <c r="AB19" i="11"/>
  <c r="AB18" i="11"/>
  <c r="AB17" i="11"/>
  <c r="AB16" i="11"/>
  <c r="AB13" i="11"/>
  <c r="AB12" i="11"/>
  <c r="AB11" i="11"/>
  <c r="AB10" i="11"/>
  <c r="AC10" i="11" s="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H21" i="2" s="1"/>
  <c r="G22" i="2"/>
  <c r="E16" i="2"/>
  <c r="E17" i="2"/>
  <c r="E18" i="2"/>
  <c r="E19" i="2"/>
  <c r="E20" i="2"/>
  <c r="E21" i="2"/>
  <c r="F21" i="2" s="1"/>
  <c r="E22" i="2"/>
  <c r="C17" i="2"/>
  <c r="C18" i="2"/>
  <c r="D18" i="2" s="1"/>
  <c r="C19" i="2"/>
  <c r="C20" i="2"/>
  <c r="D20" i="2" s="1"/>
  <c r="C21" i="2"/>
  <c r="D21" i="2" s="1"/>
  <c r="C22" i="2"/>
  <c r="D22" i="2" s="1"/>
  <c r="I9" i="2"/>
  <c r="I10" i="2"/>
  <c r="I11" i="2"/>
  <c r="I12" i="2"/>
  <c r="I13" i="2"/>
  <c r="C10" i="2"/>
  <c r="C11" i="2"/>
  <c r="D11" i="2" s="1"/>
  <c r="C12" i="2"/>
  <c r="C13" i="2"/>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A14" i="8" s="1"/>
  <c r="BB10" i="8"/>
  <c r="BC10" i="8"/>
  <c r="BC11" i="8"/>
  <c r="BC12" i="8"/>
  <c r="BF12" i="8" s="1"/>
  <c r="AY13" i="8"/>
  <c r="AZ13" i="8"/>
  <c r="BA13" i="8"/>
  <c r="BB13" i="8"/>
  <c r="BC13" i="8"/>
  <c r="BF13" i="8" s="1"/>
  <c r="BC16" i="8"/>
  <c r="BF16" i="8" s="1"/>
  <c r="BC17" i="8"/>
  <c r="AY18" i="8"/>
  <c r="AZ18" i="8"/>
  <c r="BA18" i="8"/>
  <c r="BB18" i="8"/>
  <c r="BC18" i="8"/>
  <c r="BF18" i="8" s="1"/>
  <c r="AY19" i="8"/>
  <c r="AZ19" i="8"/>
  <c r="BA19" i="8"/>
  <c r="BB19" i="8"/>
  <c r="BC19" i="8"/>
  <c r="BF19" i="8" s="1"/>
  <c r="AY20" i="8"/>
  <c r="AZ20" i="8"/>
  <c r="BA20" i="8"/>
  <c r="BB20" i="8"/>
  <c r="BC20" i="8"/>
  <c r="AY21" i="8"/>
  <c r="AZ21" i="8"/>
  <c r="BA21" i="8"/>
  <c r="BB21" i="8"/>
  <c r="BC21" i="8"/>
  <c r="BF21" i="8" s="1"/>
  <c r="AY22" i="8"/>
  <c r="AZ22" i="8"/>
  <c r="BA22" i="8"/>
  <c r="BB22" i="8"/>
  <c r="BC22" i="8"/>
  <c r="AY25" i="8"/>
  <c r="AZ25" i="8"/>
  <c r="BD25" i="8" s="1"/>
  <c r="BA25" i="8"/>
  <c r="BB25" i="8"/>
  <c r="BC25" i="8"/>
  <c r="I26" i="8"/>
  <c r="J26" i="8"/>
  <c r="K26" i="8"/>
  <c r="L26" i="8"/>
  <c r="M26" i="8"/>
  <c r="N26" i="8"/>
  <c r="P26" i="8"/>
  <c r="Q26" i="8"/>
  <c r="R26" i="8"/>
  <c r="S26" i="8"/>
  <c r="T26" i="8"/>
  <c r="U26" i="8"/>
  <c r="V26" i="8"/>
  <c r="W26" i="8"/>
  <c r="X26" i="8"/>
  <c r="Y26" i="8"/>
  <c r="Z26" i="8"/>
  <c r="AA26" i="8"/>
  <c r="AB26" i="8"/>
  <c r="AC26" i="8"/>
  <c r="AD26" i="8"/>
  <c r="AE26" i="8"/>
  <c r="AF26" i="8"/>
  <c r="AG26" i="8"/>
  <c r="Q26" i="12" s="1"/>
  <c r="AH26" i="8"/>
  <c r="R26" i="12" s="1"/>
  <c r="AI26" i="8"/>
  <c r="AJ26" i="8"/>
  <c r="T26" i="12" s="1"/>
  <c r="AK26" i="8"/>
  <c r="AL26" i="8"/>
  <c r="AM26" i="8"/>
  <c r="AN26" i="8"/>
  <c r="AO26" i="8"/>
  <c r="B26" i="3" s="1"/>
  <c r="AP26" i="8"/>
  <c r="B26" i="2" s="1"/>
  <c r="AQ26" i="8"/>
  <c r="AR26" i="8"/>
  <c r="BH26" i="8"/>
  <c r="BI26" i="8"/>
  <c r="BK26" i="8"/>
  <c r="CI26" i="8"/>
  <c r="CJ26" i="8"/>
  <c r="AY28" i="8"/>
  <c r="AZ28" i="8"/>
  <c r="BA28" i="8"/>
  <c r="BB28" i="8"/>
  <c r="BC28" i="8"/>
  <c r="AY29" i="8"/>
  <c r="AZ29" i="8"/>
  <c r="BA29" i="8"/>
  <c r="BB29" i="8"/>
  <c r="BC29" i="8"/>
  <c r="BF29" i="8" s="1"/>
  <c r="I30" i="8"/>
  <c r="J30" i="8"/>
  <c r="K30" i="8"/>
  <c r="L30" i="8"/>
  <c r="M30" i="8"/>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Q14"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E12" i="3" s="1"/>
  <c r="F12" i="3"/>
  <c r="H12" i="3"/>
  <c r="I12" i="3" s="1"/>
  <c r="A13" i="3"/>
  <c r="C13" i="3"/>
  <c r="D13" i="3"/>
  <c r="F13" i="3"/>
  <c r="H13" i="3"/>
  <c r="A14" i="3"/>
  <c r="A15" i="3"/>
  <c r="A16" i="3"/>
  <c r="C16" i="3"/>
  <c r="D16" i="3"/>
  <c r="F16" i="3"/>
  <c r="H16" i="3"/>
  <c r="A17" i="3"/>
  <c r="C17" i="3"/>
  <c r="D17" i="3"/>
  <c r="F17" i="3"/>
  <c r="G17" i="3" s="1"/>
  <c r="H17" i="3"/>
  <c r="A18" i="3"/>
  <c r="C18" i="3"/>
  <c r="D18" i="3"/>
  <c r="F18" i="3"/>
  <c r="H18" i="3"/>
  <c r="A19" i="3"/>
  <c r="C19" i="3"/>
  <c r="D19" i="3"/>
  <c r="F19" i="3"/>
  <c r="G19" i="3" s="1"/>
  <c r="H19" i="3"/>
  <c r="A20" i="3"/>
  <c r="C20" i="3"/>
  <c r="D20" i="3"/>
  <c r="F20" i="3"/>
  <c r="H20" i="3"/>
  <c r="A21" i="3"/>
  <c r="C21" i="3"/>
  <c r="D21" i="3"/>
  <c r="F21" i="3"/>
  <c r="H21" i="3"/>
  <c r="A22" i="3"/>
  <c r="C22" i="3"/>
  <c r="D22" i="3"/>
  <c r="F22" i="3"/>
  <c r="H22" i="3"/>
  <c r="A24" i="3"/>
  <c r="A25" i="3"/>
  <c r="C25" i="3"/>
  <c r="D25" i="3"/>
  <c r="F25" i="3"/>
  <c r="F26" i="3" s="1"/>
  <c r="H25" i="3"/>
  <c r="A26" i="3"/>
  <c r="A27" i="3"/>
  <c r="A28" i="3"/>
  <c r="C28" i="3"/>
  <c r="D28" i="3"/>
  <c r="F28" i="3"/>
  <c r="H28" i="3"/>
  <c r="A29" i="3"/>
  <c r="C29" i="3"/>
  <c r="D29" i="3"/>
  <c r="E29" i="3" s="1"/>
  <c r="F29" i="3"/>
  <c r="H29" i="3"/>
  <c r="A30" i="3"/>
  <c r="A31" i="3"/>
  <c r="A34" i="3"/>
  <c r="B2" i="10"/>
  <c r="B3" i="10"/>
  <c r="B4" i="10"/>
  <c r="A5" i="10"/>
  <c r="A8" i="10"/>
  <c r="A9" i="10"/>
  <c r="B9" i="10"/>
  <c r="C9" i="10"/>
  <c r="D9" i="10"/>
  <c r="E9" i="10"/>
  <c r="F9" i="10" s="1"/>
  <c r="H9" i="10"/>
  <c r="A10" i="10"/>
  <c r="B10" i="10"/>
  <c r="C10" i="10"/>
  <c r="D10" i="10"/>
  <c r="I10" i="10" s="1"/>
  <c r="K10" i="10" s="1"/>
  <c r="E10" i="10"/>
  <c r="F10" i="10" s="1"/>
  <c r="H10" i="10"/>
  <c r="A11" i="10"/>
  <c r="B11" i="10"/>
  <c r="C11" i="10"/>
  <c r="D11" i="10"/>
  <c r="E11" i="10"/>
  <c r="F11" i="10" s="1"/>
  <c r="H11" i="10"/>
  <c r="A12" i="10"/>
  <c r="B12" i="10"/>
  <c r="C12" i="10"/>
  <c r="D12" i="10"/>
  <c r="I12" i="10" s="1"/>
  <c r="K12" i="10" s="1"/>
  <c r="E12" i="10"/>
  <c r="H12" i="10"/>
  <c r="A13" i="10"/>
  <c r="B13" i="10"/>
  <c r="C13" i="10"/>
  <c r="D13" i="10"/>
  <c r="I13" i="10" s="1"/>
  <c r="K13" i="10" s="1"/>
  <c r="E13" i="10"/>
  <c r="F13" i="10" s="1"/>
  <c r="A15" i="10"/>
  <c r="A16" i="10"/>
  <c r="B16" i="10"/>
  <c r="C16" i="10"/>
  <c r="D16" i="10"/>
  <c r="I16" i="10" s="1"/>
  <c r="K16" i="10" s="1"/>
  <c r="E16" i="10"/>
  <c r="F16" i="10" s="1"/>
  <c r="H16" i="10"/>
  <c r="A17" i="10"/>
  <c r="B17" i="10"/>
  <c r="C17" i="10"/>
  <c r="D17" i="10"/>
  <c r="E17" i="10"/>
  <c r="F17" i="10" s="1"/>
  <c r="H17" i="10"/>
  <c r="A18" i="10"/>
  <c r="B18" i="10"/>
  <c r="C18" i="10"/>
  <c r="D18" i="10"/>
  <c r="I18" i="10" s="1"/>
  <c r="K18" i="10" s="1"/>
  <c r="E18" i="10"/>
  <c r="F18" i="10" s="1"/>
  <c r="H18" i="10"/>
  <c r="A19" i="10"/>
  <c r="B19" i="10"/>
  <c r="C19" i="10"/>
  <c r="D19" i="10"/>
  <c r="E19" i="10"/>
  <c r="F19" i="10" s="1"/>
  <c r="H19" i="10"/>
  <c r="A20" i="10"/>
  <c r="B20" i="10"/>
  <c r="C20" i="10"/>
  <c r="D20" i="10"/>
  <c r="I20" i="10" s="1"/>
  <c r="K20" i="10" s="1"/>
  <c r="E20" i="10"/>
  <c r="A21" i="10"/>
  <c r="D21" i="10"/>
  <c r="I21" i="10" s="1"/>
  <c r="K21" i="10" s="1"/>
  <c r="E21" i="10"/>
  <c r="F21" i="10" s="1"/>
  <c r="H21" i="10"/>
  <c r="A22" i="10"/>
  <c r="B22" i="10"/>
  <c r="C22" i="10"/>
  <c r="D22" i="10"/>
  <c r="I22" i="10" s="1"/>
  <c r="K22" i="10" s="1"/>
  <c r="E22" i="10"/>
  <c r="F22" i="10" s="1"/>
  <c r="H22" i="10"/>
  <c r="A24" i="10"/>
  <c r="A25" i="10"/>
  <c r="B25" i="10"/>
  <c r="C25" i="10"/>
  <c r="D25" i="10"/>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B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G28" i="2"/>
  <c r="H28" i="2" s="1"/>
  <c r="I28" i="2"/>
  <c r="A29" i="2"/>
  <c r="B29" i="2"/>
  <c r="C29" i="2"/>
  <c r="D29" i="2" s="1"/>
  <c r="E29" i="2"/>
  <c r="G29" i="2"/>
  <c r="I29" i="2"/>
  <c r="J29" i="2" s="1"/>
  <c r="A30" i="2"/>
  <c r="A31" i="2"/>
  <c r="A32" i="2"/>
  <c r="A33" i="2"/>
  <c r="A35" i="2"/>
  <c r="O37" i="11"/>
  <c r="O38" i="11"/>
  <c r="S14" i="12"/>
  <c r="H13" i="10"/>
  <c r="P13" i="14"/>
  <c r="S26" i="12"/>
  <c r="AN23" i="17"/>
  <c r="AS14" i="8"/>
  <c r="I13" i="14"/>
  <c r="AD26" i="20"/>
  <c r="AA30" i="20"/>
  <c r="AY30" i="19"/>
  <c r="BC30" i="19"/>
  <c r="AZ30" i="19"/>
  <c r="AZ14" i="19"/>
  <c r="AY26" i="19"/>
  <c r="BC26" i="19"/>
  <c r="BB14" i="19"/>
  <c r="BA23" i="19"/>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AY26" i="21" s="1"/>
  <c r="AY30" i="21" s="1"/>
  <c r="N30" i="21"/>
  <c r="V30" i="21"/>
  <c r="T30" i="21"/>
  <c r="AF30" i="21"/>
  <c r="O30" i="21"/>
  <c r="F26" i="21"/>
  <c r="AE23" i="21"/>
  <c r="AJ23" i="21"/>
  <c r="AK23" i="21"/>
  <c r="H30" i="21"/>
  <c r="AE26" i="21"/>
  <c r="H23" i="21"/>
  <c r="Z23" i="2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P26" i="20"/>
  <c r="J14" i="20"/>
  <c r="P30" i="20"/>
  <c r="E14" i="20"/>
  <c r="T26" i="20"/>
  <c r="Q14" i="20"/>
  <c r="G14" i="20"/>
  <c r="K14" i="20"/>
  <c r="AT14" i="20"/>
  <c r="AA14" i="20"/>
  <c r="AD30" i="20"/>
  <c r="AE30" i="20"/>
  <c r="R14" i="20"/>
  <c r="F14" i="20"/>
  <c r="CO31" i="8"/>
  <c r="V23" i="21"/>
  <c r="T23" i="21"/>
  <c r="BD17" i="13"/>
  <c r="R13" i="17"/>
  <c r="BD11" i="13"/>
  <c r="BD18" i="8"/>
  <c r="E23" i="12"/>
  <c r="AP9" i="11"/>
  <c r="BE12" i="21"/>
  <c r="BE14" i="21" s="1"/>
  <c r="BE31" i="21" s="1"/>
  <c r="EN31" i="8"/>
  <c r="BA14" i="16"/>
  <c r="N29" i="11"/>
  <c r="N10" i="11"/>
  <c r="N11" i="11"/>
  <c r="M26" i="2"/>
  <c r="ES31" i="8"/>
  <c r="G23" i="12"/>
  <c r="R8" i="9"/>
  <c r="BH9" i="16" s="1"/>
  <c r="AA31" i="8"/>
  <c r="EP31" i="8"/>
  <c r="ER31" i="13"/>
  <c r="EP31" i="19"/>
  <c r="V16" i="11"/>
  <c r="BG25" i="11"/>
  <c r="Q18" i="20"/>
  <c r="Q23" i="20" s="1"/>
  <c r="BF18" i="11"/>
  <c r="BG22" i="11"/>
  <c r="AZ19" i="11"/>
  <c r="S14" i="16"/>
  <c r="P14" i="16"/>
  <c r="F13" i="16"/>
  <c r="N30" i="16"/>
  <c r="H14" i="21"/>
  <c r="K26" i="2"/>
  <c r="K23" i="2"/>
  <c r="N26" i="2"/>
  <c r="M14" i="2"/>
  <c r="M23" i="2"/>
  <c r="N14" i="2"/>
  <c r="G26" i="2"/>
  <c r="N23" i="2"/>
  <c r="K30" i="2"/>
  <c r="F30" i="17"/>
  <c r="F14" i="7"/>
  <c r="BK21" i="11"/>
  <c r="BI25" i="11"/>
  <c r="V13" i="11"/>
  <c r="BI19" i="11"/>
  <c r="AP22" i="20"/>
  <c r="AZ13" i="11"/>
  <c r="BL25" i="11"/>
  <c r="AZ9" i="11"/>
  <c r="AZ14" i="11" s="1"/>
  <c r="BM20" i="11"/>
  <c r="BJ28" i="11"/>
  <c r="BU28" i="17"/>
  <c r="BU11" i="17"/>
  <c r="BW9" i="20"/>
  <c r="BU21" i="17"/>
  <c r="BV17" i="16"/>
  <c r="BW17" i="20"/>
  <c r="BV25" i="16"/>
  <c r="BW16" i="20"/>
  <c r="U10" i="17"/>
  <c r="BV10" i="16"/>
  <c r="BU18" i="17"/>
  <c r="S11" i="17"/>
  <c r="BV20" i="16"/>
  <c r="T14" i="16"/>
  <c r="AZ22" i="11"/>
  <c r="R28" i="14"/>
  <c r="X16" i="17"/>
  <c r="T17" i="11"/>
  <c r="P16" i="17"/>
  <c r="BF12" i="11"/>
  <c r="BH25" i="16"/>
  <c r="BK20" i="11"/>
  <c r="BJ10" i="11"/>
  <c r="Q16" i="17"/>
  <c r="BF16" i="11"/>
  <c r="BL22" i="11"/>
  <c r="BI22" i="11"/>
  <c r="BK10" i="11"/>
  <c r="T14" i="20"/>
  <c r="BF25" i="8"/>
  <c r="AY14" i="8"/>
  <c r="BD9" i="8"/>
  <c r="BF9" i="8"/>
  <c r="L22" i="2"/>
  <c r="C30" i="7"/>
  <c r="L16" i="2"/>
  <c r="X19" i="16"/>
  <c r="AO14" i="21"/>
  <c r="AA11" i="16"/>
  <c r="AP14" i="16"/>
  <c r="V9" i="16"/>
  <c r="T23" i="17"/>
  <c r="T26" i="17" s="1"/>
  <c r="T30" i="17" s="1"/>
  <c r="BG16" i="13"/>
  <c r="BE17" i="13"/>
  <c r="BE16" i="13"/>
  <c r="X32" i="20"/>
  <c r="G30" i="14"/>
  <c r="G23" i="14"/>
  <c r="I10" i="3" l="1"/>
  <c r="E10" i="3"/>
  <c r="BF17" i="8"/>
  <c r="BD12" i="8"/>
  <c r="BG16" i="8"/>
  <c r="K16" i="7" s="1"/>
  <c r="B16" i="6"/>
  <c r="AA9" i="16"/>
  <c r="L21" i="2"/>
  <c r="L20" i="2"/>
  <c r="L18" i="2"/>
  <c r="L17" i="2"/>
  <c r="L29" i="2"/>
  <c r="BI21" i="11"/>
  <c r="BH25" i="11"/>
  <c r="AQ12" i="21"/>
  <c r="BH17" i="11"/>
  <c r="BM18" i="11"/>
  <c r="BK17" i="11"/>
  <c r="AZ25" i="11"/>
  <c r="AZ30" i="11" s="1"/>
  <c r="BH21" i="11"/>
  <c r="BL16" i="11"/>
  <c r="BL20" i="11"/>
  <c r="S16" i="16"/>
  <c r="BF20" i="11"/>
  <c r="AZ17" i="11"/>
  <c r="AA20" i="16"/>
  <c r="BU17" i="17"/>
  <c r="BV29" i="16"/>
  <c r="BW22" i="20"/>
  <c r="BW29" i="20"/>
  <c r="BU20" i="17"/>
  <c r="BV11" i="16"/>
  <c r="BU29" i="17"/>
  <c r="BV21" i="16"/>
  <c r="BW13" i="20"/>
  <c r="BV13" i="16"/>
  <c r="BV28" i="16"/>
  <c r="BU25" i="17"/>
  <c r="BG21" i="11"/>
  <c r="AP18" i="20"/>
  <c r="AP26" i="21"/>
  <c r="BG19" i="11"/>
  <c r="V20" i="11"/>
  <c r="AP16" i="20"/>
  <c r="BJ16" i="11"/>
  <c r="V9" i="11"/>
  <c r="BM12" i="11"/>
  <c r="V11" i="11"/>
  <c r="BK29" i="11"/>
  <c r="BG20" i="11"/>
  <c r="BF28" i="11"/>
  <c r="BH16" i="16"/>
  <c r="BF13" i="11"/>
  <c r="X12" i="21"/>
  <c r="T18"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BK16" i="11"/>
  <c r="S9" i="17"/>
  <c r="BJ21" i="11"/>
  <c r="BG29" i="11"/>
  <c r="V21" i="11"/>
  <c r="BI10" i="11"/>
  <c r="BF22" i="11"/>
  <c r="Q10" i="21"/>
  <c r="BH9" i="11"/>
  <c r="BM25" i="11"/>
  <c r="BI16" i="11"/>
  <c r="BK25" i="11"/>
  <c r="BJ29" i="11"/>
  <c r="V28" i="11"/>
  <c r="BM13" i="11"/>
  <c r="BH20" i="11"/>
  <c r="BJ12" i="11"/>
  <c r="BI18" i="11"/>
  <c r="BG9" i="11"/>
  <c r="S28" i="14"/>
  <c r="V28" i="14" s="1"/>
  <c r="BL11" i="11"/>
  <c r="BH28" i="16"/>
  <c r="R18" i="20"/>
  <c r="R23" i="20" s="1"/>
  <c r="V29" i="11"/>
  <c r="BL21" i="11"/>
  <c r="V22" i="11"/>
  <c r="BK18" i="11"/>
  <c r="AZ21" i="11"/>
  <c r="X13" i="16"/>
  <c r="V25" i="16"/>
  <c r="L9" i="2"/>
  <c r="U9" i="17"/>
  <c r="U31" i="17" s="1"/>
  <c r="L19" i="2"/>
  <c r="X10" i="21"/>
  <c r="L13" i="2"/>
  <c r="L25" i="2"/>
  <c r="L12" i="2"/>
  <c r="S17" i="17"/>
  <c r="S16" i="17"/>
  <c r="X21" i="20"/>
  <c r="L28" i="2"/>
  <c r="L10" i="2"/>
  <c r="BH22" i="11"/>
  <c r="BL17" i="11"/>
  <c r="BK22" i="11"/>
  <c r="BJ17" i="11"/>
  <c r="BH12" i="16"/>
  <c r="AO25" i="17"/>
  <c r="BM9" i="11"/>
  <c r="BM21" i="11"/>
  <c r="S18" i="17"/>
  <c r="BG17" i="11"/>
  <c r="BH11" i="11"/>
  <c r="BI29" i="11"/>
  <c r="BH10" i="16"/>
  <c r="S10" i="17"/>
  <c r="BL10" i="11"/>
  <c r="AO29" i="17"/>
  <c r="BL28" i="11"/>
  <c r="AQ10" i="21"/>
  <c r="BI9" i="11"/>
  <c r="BH10" i="11"/>
  <c r="BI20" i="11"/>
  <c r="Q18" i="17"/>
  <c r="BG12" i="11"/>
  <c r="AZ11" i="11"/>
  <c r="S11" i="14"/>
  <c r="V11" i="14" s="1"/>
  <c r="AZ12" i="11"/>
  <c r="AZ20" i="11"/>
  <c r="AA18" i="16"/>
  <c r="S25" i="17"/>
  <c r="AA29" i="16"/>
  <c r="BV9" i="16"/>
  <c r="BU12" i="17"/>
  <c r="BW21" i="20"/>
  <c r="BV22" i="16"/>
  <c r="BU13" i="17"/>
  <c r="BW10" i="20"/>
  <c r="BW28" i="20"/>
  <c r="BU19" i="17"/>
  <c r="S21" i="17"/>
  <c r="BU9" i="17"/>
  <c r="BW11" i="20"/>
  <c r="X21" i="16"/>
  <c r="BV16" i="16"/>
  <c r="BU22" i="17"/>
  <c r="BW12" i="20"/>
  <c r="BW25" i="20"/>
  <c r="BV12" i="16"/>
  <c r="BU10" i="17"/>
  <c r="BW18" i="20"/>
  <c r="X20" i="16"/>
  <c r="BV18" i="16"/>
  <c r="BW19" i="20"/>
  <c r="BV19" i="16"/>
  <c r="BU16" i="17"/>
  <c r="BW20" i="20"/>
  <c r="AZ16" i="11"/>
  <c r="AZ23" i="11" s="1"/>
  <c r="AZ26" i="11" s="1"/>
  <c r="T16" i="16"/>
  <c r="BJ25" i="11"/>
  <c r="BL29" i="11"/>
  <c r="AO28" i="17"/>
  <c r="T18" i="16"/>
  <c r="BM16" i="11"/>
  <c r="BH18" i="11"/>
  <c r="BL13" i="11"/>
  <c r="BH13" i="11"/>
  <c r="BG16" i="11"/>
  <c r="BJ20" i="11"/>
  <c r="R10" i="21"/>
  <c r="R14" i="21" s="1"/>
  <c r="R31" i="21" s="1"/>
  <c r="BH22" i="16"/>
  <c r="BJ11" i="11"/>
  <c r="BH20" i="16"/>
  <c r="AP21" i="20"/>
  <c r="AP10" i="21"/>
  <c r="AZ18" i="11"/>
  <c r="BK11" i="11"/>
  <c r="BL12" i="11"/>
  <c r="BF10" i="11"/>
  <c r="BF17" i="11"/>
  <c r="V25" i="11"/>
  <c r="BF21" i="11"/>
  <c r="V11" i="16"/>
  <c r="BM17" i="11"/>
  <c r="BG10" i="11"/>
  <c r="BJ18" i="11"/>
  <c r="BJ22" i="11"/>
  <c r="BL19" i="11"/>
  <c r="AP17" i="20"/>
  <c r="S13" i="17"/>
  <c r="S12" i="14"/>
  <c r="V12" i="14" s="1"/>
  <c r="S19" i="14"/>
  <c r="V19" i="14" s="1"/>
  <c r="S17" i="14"/>
  <c r="V17" i="14" s="1"/>
  <c r="S29" i="14"/>
  <c r="V29" i="14" s="1"/>
  <c r="R10" i="14"/>
  <c r="R12" i="14"/>
  <c r="R17" i="14"/>
  <c r="R19" i="14"/>
  <c r="R25" i="14"/>
  <c r="R29" i="14"/>
  <c r="AM9" i="11"/>
  <c r="T13" i="11"/>
  <c r="T21" i="11"/>
  <c r="T25" i="11"/>
  <c r="T29" i="11"/>
  <c r="T11" i="11"/>
  <c r="T9" i="11"/>
  <c r="S9" i="14"/>
  <c r="V9" i="14" s="1"/>
  <c r="S16" i="14"/>
  <c r="V16" i="14" s="1"/>
  <c r="R13" i="14"/>
  <c r="S10" i="14"/>
  <c r="V10" i="14" s="1"/>
  <c r="S13" i="14"/>
  <c r="V13" i="14" s="1"/>
  <c r="S21" i="14"/>
  <c r="V21" i="14" s="1"/>
  <c r="S18" i="14"/>
  <c r="V18" i="14" s="1"/>
  <c r="R11" i="14"/>
  <c r="R18" i="14"/>
  <c r="R22" i="14"/>
  <c r="T12" i="11"/>
  <c r="T19" i="11"/>
  <c r="T22" i="11"/>
  <c r="T28" i="11"/>
  <c r="V13" i="16"/>
  <c r="AA25" i="16"/>
  <c r="AA28" i="16"/>
  <c r="AA17" i="16"/>
  <c r="X22" i="17"/>
  <c r="X13" i="17"/>
  <c r="X10" i="17"/>
  <c r="AA16" i="16"/>
  <c r="X18" i="17"/>
  <c r="T18" i="20"/>
  <c r="X18" i="20"/>
  <c r="X19" i="20"/>
  <c r="X20" i="20"/>
  <c r="AA12" i="21"/>
  <c r="V16" i="16"/>
  <c r="V10" i="16"/>
  <c r="V12" i="16"/>
  <c r="V19" i="16"/>
  <c r="T19" i="20"/>
  <c r="V16" i="20"/>
  <c r="V23" i="20" s="1"/>
  <c r="X25" i="16"/>
  <c r="X30" i="16" s="1"/>
  <c r="T16" i="11"/>
  <c r="T20" i="11"/>
  <c r="X25" i="17"/>
  <c r="AA10" i="16"/>
  <c r="X17" i="17"/>
  <c r="X12" i="17"/>
  <c r="X21" i="17"/>
  <c r="X9" i="17"/>
  <c r="X11" i="17"/>
  <c r="X22" i="20"/>
  <c r="U10" i="21"/>
  <c r="V12" i="21"/>
  <c r="X17" i="20"/>
  <c r="V18" i="16"/>
  <c r="S22" i="17"/>
  <c r="V21" i="16"/>
  <c r="AZ28" i="11"/>
  <c r="L11" i="2"/>
  <c r="X9" i="16"/>
  <c r="X31" i="16" s="1"/>
  <c r="U13" i="17"/>
  <c r="X12" i="16"/>
  <c r="X16" i="16"/>
  <c r="X23" i="16" s="1"/>
  <c r="X22" i="16"/>
  <c r="BF23" i="19"/>
  <c r="BF9" i="13"/>
  <c r="BB14" i="13"/>
  <c r="BF20" i="8"/>
  <c r="B23" i="7"/>
  <c r="AP11" i="11"/>
  <c r="Y11" i="11"/>
  <c r="F9" i="2"/>
  <c r="E28" i="3"/>
  <c r="G22" i="3"/>
  <c r="G20" i="3"/>
  <c r="G18" i="3"/>
  <c r="G16" i="3"/>
  <c r="I11" i="3"/>
  <c r="E13" i="6"/>
  <c r="AL17" i="11"/>
  <c r="AL20" i="11"/>
  <c r="AM17" i="11"/>
  <c r="BG25" i="13"/>
  <c r="BE25" i="13"/>
  <c r="BC23" i="13"/>
  <c r="AZ23" i="13"/>
  <c r="BB23" i="13"/>
  <c r="BA23" i="13"/>
  <c r="BD20" i="13"/>
  <c r="BG21" i="13"/>
  <c r="BD21" i="13"/>
  <c r="AY30" i="13"/>
  <c r="BF28" i="13"/>
  <c r="AZ30" i="13"/>
  <c r="R30" i="17"/>
  <c r="N9" i="11"/>
  <c r="Q9" i="11" s="1"/>
  <c r="J18" i="7"/>
  <c r="B20" i="6"/>
  <c r="AB31" i="19"/>
  <c r="CN31" i="19"/>
  <c r="X14" i="20"/>
  <c r="BF16" i="13"/>
  <c r="BG9" i="13"/>
  <c r="BD9" i="13"/>
  <c r="AM31" i="13"/>
  <c r="AC31" i="13"/>
  <c r="AM31" i="8"/>
  <c r="H30" i="12"/>
  <c r="D30" i="12"/>
  <c r="AP30" i="21"/>
  <c r="BE29" i="8"/>
  <c r="BD28" i="8"/>
  <c r="Z31" i="8"/>
  <c r="G26" i="7"/>
  <c r="G26" i="12"/>
  <c r="T31" i="8"/>
  <c r="R31" i="8"/>
  <c r="H26" i="12"/>
  <c r="D26" i="7"/>
  <c r="I31" i="8"/>
  <c r="BE25" i="8"/>
  <c r="BG25" i="8"/>
  <c r="BG9" i="8"/>
  <c r="K9" i="7" s="1"/>
  <c r="BE9" i="8"/>
  <c r="BG12" i="8"/>
  <c r="K12" i="7" s="1"/>
  <c r="BD16" i="8"/>
  <c r="AR14" i="21"/>
  <c r="BM31" i="8"/>
  <c r="EL31" i="8"/>
  <c r="I30" i="11"/>
  <c r="AQ19" i="11"/>
  <c r="D22" i="6"/>
  <c r="G26" i="3"/>
  <c r="G29" i="3"/>
  <c r="I21" i="3"/>
  <c r="E21" i="3"/>
  <c r="I19" i="3"/>
  <c r="I17" i="3"/>
  <c r="J11" i="10"/>
  <c r="L11" i="10" s="1"/>
  <c r="BE23" i="19"/>
  <c r="R31" i="19"/>
  <c r="V31" i="19"/>
  <c r="AD31" i="19"/>
  <c r="AS14" i="21"/>
  <c r="AO23" i="20"/>
  <c r="AP23" i="20"/>
  <c r="AT23" i="20"/>
  <c r="AQ31" i="19"/>
  <c r="J23" i="17"/>
  <c r="BL25" i="16"/>
  <c r="BE19" i="13"/>
  <c r="AQ31" i="13"/>
  <c r="U31" i="13"/>
  <c r="S31" i="13"/>
  <c r="BE28" i="13"/>
  <c r="BD29" i="13"/>
  <c r="BC14" i="13"/>
  <c r="BG10" i="13"/>
  <c r="BE9" i="13"/>
  <c r="B30" i="7"/>
  <c r="BH30" i="16"/>
  <c r="AO30" i="17"/>
  <c r="AI31" i="8"/>
  <c r="W31" i="8"/>
  <c r="BD22" i="8"/>
  <c r="H22" i="7" s="1"/>
  <c r="BD21" i="8"/>
  <c r="H21" i="7" s="1"/>
  <c r="C12" i="6"/>
  <c r="AO10" i="17"/>
  <c r="B19" i="6"/>
  <c r="B17" i="6"/>
  <c r="B18" i="6"/>
  <c r="C21" i="6"/>
  <c r="C19" i="6"/>
  <c r="C17" i="6"/>
  <c r="Y20" i="11"/>
  <c r="Y10" i="11"/>
  <c r="Y9" i="11"/>
  <c r="EQ31" i="8"/>
  <c r="ER31" i="8"/>
  <c r="BA26" i="8"/>
  <c r="CI31" i="8"/>
  <c r="S31" i="8"/>
  <c r="Y31" i="8"/>
  <c r="AC31" i="8"/>
  <c r="AE31" i="8"/>
  <c r="AB31" i="8"/>
  <c r="BK31" i="8"/>
  <c r="E16" i="3"/>
  <c r="E14" i="17"/>
  <c r="AQ13" i="17"/>
  <c r="F26" i="17"/>
  <c r="C10" i="14"/>
  <c r="K10" i="14" s="1"/>
  <c r="E26" i="14"/>
  <c r="D9" i="12"/>
  <c r="AG26" i="11"/>
  <c r="BK14" i="11"/>
  <c r="Y29" i="11"/>
  <c r="N21" i="11"/>
  <c r="AA26" i="11"/>
  <c r="H30" i="3"/>
  <c r="G28" i="3"/>
  <c r="I25" i="3"/>
  <c r="E25" i="3"/>
  <c r="BI20" i="16"/>
  <c r="H12" i="7"/>
  <c r="AM19" i="11"/>
  <c r="C30" i="2"/>
  <c r="D30" i="2" s="1"/>
  <c r="AL18" i="11"/>
  <c r="AO21" i="17"/>
  <c r="BI18" i="16"/>
  <c r="B29" i="6"/>
  <c r="AN9" i="11"/>
  <c r="AO11" i="11"/>
  <c r="AL9" i="11"/>
  <c r="H12" i="2"/>
  <c r="H10" i="2"/>
  <c r="AM11" i="11"/>
  <c r="BD26" i="19"/>
  <c r="AB14" i="21"/>
  <c r="AB31" i="21" s="1"/>
  <c r="AE14" i="21"/>
  <c r="AE31" i="21" s="1"/>
  <c r="S28" i="17"/>
  <c r="AN31" i="13"/>
  <c r="Z31" i="13"/>
  <c r="V31" i="13"/>
  <c r="AY26" i="13"/>
  <c r="Q31" i="13"/>
  <c r="BD13" i="13"/>
  <c r="AY14" i="13"/>
  <c r="BD12" i="13"/>
  <c r="BD29" i="8"/>
  <c r="BG29" i="8"/>
  <c r="AY30" i="8"/>
  <c r="BG21" i="8"/>
  <c r="AY23" i="8"/>
  <c r="H9" i="7"/>
  <c r="E26" i="7"/>
  <c r="BE28" i="8"/>
  <c r="I28" i="7" s="1"/>
  <c r="J16" i="7"/>
  <c r="AO12" i="17"/>
  <c r="AL12" i="11"/>
  <c r="BG26" i="16"/>
  <c r="L31" i="8"/>
  <c r="AO16" i="11"/>
  <c r="AN29" i="11"/>
  <c r="AU23" i="21"/>
  <c r="Z26" i="21"/>
  <c r="L31" i="21"/>
  <c r="C31" i="3"/>
  <c r="C26" i="3"/>
  <c r="F13" i="2"/>
  <c r="AO9" i="11"/>
  <c r="B9" i="6"/>
  <c r="AG31" i="8"/>
  <c r="AR23" i="11"/>
  <c r="AV23" i="21"/>
  <c r="F12" i="21"/>
  <c r="AT26" i="21"/>
  <c r="AS31" i="8"/>
  <c r="F28" i="2"/>
  <c r="C25" i="6"/>
  <c r="I25" i="10"/>
  <c r="K25" i="10" s="1"/>
  <c r="I19" i="10"/>
  <c r="K19" i="10" s="1"/>
  <c r="I17" i="10"/>
  <c r="K17" i="10" s="1"/>
  <c r="I11" i="10"/>
  <c r="K11" i="10" s="1"/>
  <c r="I9" i="10"/>
  <c r="K9" i="10" s="1"/>
  <c r="BG10" i="8"/>
  <c r="BE11" i="8"/>
  <c r="I11" i="7" s="1"/>
  <c r="BE12" i="8"/>
  <c r="I12" i="7" s="1"/>
  <c r="BE16" i="8"/>
  <c r="I16" i="7" s="1"/>
  <c r="BD17" i="8"/>
  <c r="AS26" i="21"/>
  <c r="AL13" i="11"/>
  <c r="H11" i="2"/>
  <c r="AL19" i="11"/>
  <c r="L21" i="14"/>
  <c r="J19" i="2"/>
  <c r="L17" i="14"/>
  <c r="AP29" i="11"/>
  <c r="R23" i="11"/>
  <c r="Y22" i="11"/>
  <c r="AC11" i="11"/>
  <c r="AC13" i="11"/>
  <c r="AC19" i="11"/>
  <c r="AC21" i="11"/>
  <c r="H26" i="11"/>
  <c r="AQ29" i="11"/>
  <c r="AA30" i="11"/>
  <c r="AC26" i="17"/>
  <c r="AC31" i="17" s="1"/>
  <c r="AT23" i="17"/>
  <c r="C12" i="14"/>
  <c r="K12" i="14" s="1"/>
  <c r="E9" i="12"/>
  <c r="N25" i="11"/>
  <c r="P25" i="11" s="1"/>
  <c r="F12" i="11"/>
  <c r="AQ12" i="11" s="1"/>
  <c r="AQ10" i="11"/>
  <c r="X30" i="11"/>
  <c r="AC18" i="11"/>
  <c r="AC22" i="11"/>
  <c r="J14" i="11"/>
  <c r="K23" i="11"/>
  <c r="K26" i="11" s="1"/>
  <c r="E13" i="3"/>
  <c r="G13" i="3"/>
  <c r="G11" i="3"/>
  <c r="K25" i="7"/>
  <c r="E9" i="6"/>
  <c r="K9" i="12" s="1"/>
  <c r="AO20" i="11"/>
  <c r="AO17" i="17"/>
  <c r="E11" i="6"/>
  <c r="E28" i="6"/>
  <c r="AL11" i="11"/>
  <c r="B11" i="6"/>
  <c r="J21" i="2"/>
  <c r="AN11" i="11"/>
  <c r="AM21" i="11"/>
  <c r="AN13" i="11"/>
  <c r="B21" i="6"/>
  <c r="J12" i="2"/>
  <c r="H9" i="2"/>
  <c r="D19" i="6"/>
  <c r="BI17" i="16"/>
  <c r="L11" i="14"/>
  <c r="E20" i="6"/>
  <c r="H16" i="2"/>
  <c r="T10" i="21"/>
  <c r="V10" i="21" s="1"/>
  <c r="BD23" i="19"/>
  <c r="BB31" i="19"/>
  <c r="BE30" i="19"/>
  <c r="AT26" i="20"/>
  <c r="AP30" i="20"/>
  <c r="Y31" i="19"/>
  <c r="AG31" i="19"/>
  <c r="F17" i="17"/>
  <c r="AZ14" i="13"/>
  <c r="BM31" i="13"/>
  <c r="AD31" i="13"/>
  <c r="BE18" i="13"/>
  <c r="BG19" i="13"/>
  <c r="BG20" i="13"/>
  <c r="BE21" i="13"/>
  <c r="BD28" i="13"/>
  <c r="BC30" i="13"/>
  <c r="BG29" i="13"/>
  <c r="BB30" i="13"/>
  <c r="BF28" i="8"/>
  <c r="J28" i="7" s="1"/>
  <c r="BC30" i="8"/>
  <c r="AZ31" i="11"/>
  <c r="AZ30" i="8"/>
  <c r="BB30" i="8"/>
  <c r="BH26" i="16"/>
  <c r="AO26" i="17"/>
  <c r="AJ31" i="8"/>
  <c r="AQ26" i="21"/>
  <c r="AN26" i="17"/>
  <c r="AH31" i="8"/>
  <c r="F12" i="10"/>
  <c r="J12" i="10"/>
  <c r="L12" i="10" s="1"/>
  <c r="AI26" i="11"/>
  <c r="D30" i="14"/>
  <c r="F12" i="2"/>
  <c r="E14" i="2"/>
  <c r="F14" i="2" s="1"/>
  <c r="I14" i="2"/>
  <c r="J14" i="2" s="1"/>
  <c r="L20" i="14"/>
  <c r="C18" i="6"/>
  <c r="AO16" i="17"/>
  <c r="AP19" i="11"/>
  <c r="AP12" i="11"/>
  <c r="AP10" i="11"/>
  <c r="AP14" i="17"/>
  <c r="BJ14" i="16"/>
  <c r="O31" i="8"/>
  <c r="AW23" i="21"/>
  <c r="BM23" i="16"/>
  <c r="H33" i="21"/>
  <c r="H29" i="2"/>
  <c r="B25" i="6"/>
  <c r="F18" i="2"/>
  <c r="J16" i="2"/>
  <c r="BE10" i="8"/>
  <c r="I10" i="7" s="1"/>
  <c r="G21" i="3"/>
  <c r="G12" i="3"/>
  <c r="W14" i="17"/>
  <c r="X14" i="17" s="1"/>
  <c r="F16" i="16"/>
  <c r="BL16" i="16" s="1"/>
  <c r="F18" i="16"/>
  <c r="BL18" i="16" s="1"/>
  <c r="F16" i="17"/>
  <c r="AQ16" i="17" s="1"/>
  <c r="AV23" i="17"/>
  <c r="F11" i="16"/>
  <c r="BL11" i="16" s="1"/>
  <c r="C13" i="14"/>
  <c r="K13" i="14" s="1"/>
  <c r="C22" i="14"/>
  <c r="K22" i="14" s="1"/>
  <c r="C16" i="14"/>
  <c r="K16" i="14" s="1"/>
  <c r="C21" i="14"/>
  <c r="K21" i="14" s="1"/>
  <c r="D11" i="12"/>
  <c r="E12" i="12"/>
  <c r="P13" i="11"/>
  <c r="AQ28" i="11"/>
  <c r="F11" i="11"/>
  <c r="AQ11" i="11" s="1"/>
  <c r="J9" i="7"/>
  <c r="J25" i="7"/>
  <c r="D21" i="6"/>
  <c r="H23" i="3"/>
  <c r="I23" i="3" s="1"/>
  <c r="D9" i="6"/>
  <c r="J9" i="12" s="1"/>
  <c r="I29" i="3"/>
  <c r="D20" i="6"/>
  <c r="D18" i="6"/>
  <c r="J18" i="12" s="1"/>
  <c r="F29" i="2"/>
  <c r="AL29" i="11"/>
  <c r="L12" i="14"/>
  <c r="AM12" i="11"/>
  <c r="G14" i="2"/>
  <c r="D12" i="2"/>
  <c r="AO12" i="11"/>
  <c r="E12" i="6"/>
  <c r="D10" i="2"/>
  <c r="AO10" i="11"/>
  <c r="E10" i="6"/>
  <c r="L13" i="14"/>
  <c r="J13" i="2"/>
  <c r="D19" i="2"/>
  <c r="AO19" i="11"/>
  <c r="C23" i="2"/>
  <c r="D23" i="2" s="1"/>
  <c r="I9" i="7"/>
  <c r="H16" i="7"/>
  <c r="K10" i="7"/>
  <c r="H25" i="7"/>
  <c r="AM16" i="11"/>
  <c r="AN20" i="11"/>
  <c r="J12" i="7"/>
  <c r="I23" i="2"/>
  <c r="J23" i="2" s="1"/>
  <c r="B12" i="6"/>
  <c r="F20" i="2"/>
  <c r="C11" i="6"/>
  <c r="AM25" i="11"/>
  <c r="E17" i="6"/>
  <c r="D17" i="2"/>
  <c r="L9" i="14"/>
  <c r="C29" i="6"/>
  <c r="I29" i="12" s="1"/>
  <c r="AL10" i="11"/>
  <c r="C10" i="6"/>
  <c r="C9" i="6"/>
  <c r="E16" i="6"/>
  <c r="E23" i="2"/>
  <c r="F23" i="2" s="1"/>
  <c r="F16" i="2"/>
  <c r="AL22" i="11"/>
  <c r="H20" i="2"/>
  <c r="H18" i="7"/>
  <c r="AN18" i="11"/>
  <c r="H18" i="2"/>
  <c r="BI16" i="16"/>
  <c r="G23" i="2"/>
  <c r="AM22" i="11"/>
  <c r="J20" i="2"/>
  <c r="AM20" i="11"/>
  <c r="C20" i="6"/>
  <c r="AO18" i="17"/>
  <c r="L18" i="14"/>
  <c r="L16" i="14"/>
  <c r="C16" i="6"/>
  <c r="H31" i="21"/>
  <c r="AF14" i="21"/>
  <c r="AF31" i="21" s="1"/>
  <c r="N31" i="19"/>
  <c r="Z31" i="19"/>
  <c r="AJ31" i="19"/>
  <c r="AT31" i="19"/>
  <c r="CJ31" i="19"/>
  <c r="I31" i="19"/>
  <c r="AO14" i="20"/>
  <c r="M31" i="19"/>
  <c r="U31" i="19"/>
  <c r="AC31" i="19"/>
  <c r="AK31" i="19"/>
  <c r="AO31" i="19"/>
  <c r="AS31" i="19"/>
  <c r="AR14" i="20"/>
  <c r="CK31" i="19"/>
  <c r="T31" i="19"/>
  <c r="AL26" i="17"/>
  <c r="AM26" i="17"/>
  <c r="F18" i="17"/>
  <c r="AQ18" i="17" s="1"/>
  <c r="AL14" i="16"/>
  <c r="AL31" i="16" s="1"/>
  <c r="BN23" i="16"/>
  <c r="BN31" i="16" s="1"/>
  <c r="H23" i="16"/>
  <c r="AB31" i="13"/>
  <c r="X31" i="13"/>
  <c r="BK31" i="13"/>
  <c r="BH31" i="13"/>
  <c r="AO31" i="13"/>
  <c r="AE31" i="13"/>
  <c r="AA31" i="13"/>
  <c r="Y31" i="13"/>
  <c r="W31" i="13"/>
  <c r="BD10" i="13"/>
  <c r="AZ26" i="13"/>
  <c r="BB26" i="13"/>
  <c r="BA26" i="13"/>
  <c r="BF13" i="13"/>
  <c r="BG12" i="13"/>
  <c r="BE12" i="13"/>
  <c r="Q23" i="17"/>
  <c r="C14" i="5"/>
  <c r="E30" i="14"/>
  <c r="D26" i="14"/>
  <c r="AH14" i="16"/>
  <c r="AJ14" i="16"/>
  <c r="U26" i="16"/>
  <c r="J19" i="10"/>
  <c r="L19" i="10" s="1"/>
  <c r="J18" i="10"/>
  <c r="L18" i="10" s="1"/>
  <c r="J17" i="10"/>
  <c r="L17" i="10" s="1"/>
  <c r="AP26" i="17"/>
  <c r="AL31" i="8"/>
  <c r="X31" i="8"/>
  <c r="AW26" i="21"/>
  <c r="F26" i="12"/>
  <c r="D26" i="12"/>
  <c r="BE22" i="8"/>
  <c r="I22" i="7" s="1"/>
  <c r="BE18" i="8"/>
  <c r="BG18" i="8"/>
  <c r="K18" i="7" s="1"/>
  <c r="BE13" i="8"/>
  <c r="F10" i="2"/>
  <c r="E21" i="6"/>
  <c r="AO17" i="11"/>
  <c r="AO18" i="11"/>
  <c r="Y25" i="11"/>
  <c r="Y18" i="11"/>
  <c r="AP21" i="11"/>
  <c r="AP25" i="11"/>
  <c r="AP22" i="11"/>
  <c r="AP20" i="11"/>
  <c r="R30" i="11"/>
  <c r="Y12" i="11"/>
  <c r="Y21" i="11"/>
  <c r="Y28" i="11"/>
  <c r="Z26" i="11"/>
  <c r="AF26" i="11"/>
  <c r="AP14" i="21"/>
  <c r="AR14" i="11"/>
  <c r="G23" i="7"/>
  <c r="I20" i="3"/>
  <c r="I13" i="3"/>
  <c r="AS30" i="16"/>
  <c r="AE14" i="17"/>
  <c r="AQ21" i="17"/>
  <c r="AT31" i="8"/>
  <c r="F11" i="17"/>
  <c r="AQ11" i="17" s="1"/>
  <c r="J30" i="17"/>
  <c r="G9" i="12"/>
  <c r="Q13" i="11"/>
  <c r="F16" i="11"/>
  <c r="AQ16" i="11" s="1"/>
  <c r="F18" i="11"/>
  <c r="AQ18" i="11" s="1"/>
  <c r="F9" i="11"/>
  <c r="F11" i="12"/>
  <c r="AP16" i="11"/>
  <c r="AC20" i="11"/>
  <c r="F30" i="3"/>
  <c r="G30" i="3" s="1"/>
  <c r="E19" i="3"/>
  <c r="AN17" i="11"/>
  <c r="AN16" i="11"/>
  <c r="J21" i="10"/>
  <c r="L21" i="10" s="1"/>
  <c r="J25" i="10"/>
  <c r="L25" i="10" s="1"/>
  <c r="E26" i="2"/>
  <c r="F26" i="2" s="1"/>
  <c r="AN25" i="11"/>
  <c r="AL25" i="11"/>
  <c r="L25" i="14"/>
  <c r="C26" i="2"/>
  <c r="D26" i="2" s="1"/>
  <c r="F19" i="2"/>
  <c r="H19" i="2"/>
  <c r="D10" i="6"/>
  <c r="B10" i="6"/>
  <c r="AN10" i="11"/>
  <c r="C13" i="6"/>
  <c r="AO13" i="17"/>
  <c r="AM13" i="11"/>
  <c r="J9" i="2"/>
  <c r="AO9" i="17"/>
  <c r="B22" i="6"/>
  <c r="AN22" i="11"/>
  <c r="L22" i="14"/>
  <c r="C22" i="6"/>
  <c r="J22" i="2"/>
  <c r="J20" i="7"/>
  <c r="BC33" i="21"/>
  <c r="BE14" i="19"/>
  <c r="Q31" i="19"/>
  <c r="X31" i="19"/>
  <c r="AF31" i="19"/>
  <c r="AN31" i="19"/>
  <c r="BI31" i="19"/>
  <c r="AY31" i="19"/>
  <c r="AP14" i="20"/>
  <c r="AQ14" i="21"/>
  <c r="AT30" i="20"/>
  <c r="BC31" i="19"/>
  <c r="BF30" i="19"/>
  <c r="AL31" i="19"/>
  <c r="AR31" i="19"/>
  <c r="EL31" i="19"/>
  <c r="AO26" i="20"/>
  <c r="S31" i="19"/>
  <c r="AA31" i="19"/>
  <c r="AI31" i="19"/>
  <c r="BK31" i="19"/>
  <c r="AR26" i="20"/>
  <c r="AO30" i="20"/>
  <c r="CL31" i="19"/>
  <c r="M14" i="21"/>
  <c r="M31" i="21" s="1"/>
  <c r="AM14" i="21"/>
  <c r="ER31" i="19"/>
  <c r="AP31" i="19"/>
  <c r="AM31" i="19"/>
  <c r="P23" i="17"/>
  <c r="P31" i="17" s="1"/>
  <c r="E26" i="17"/>
  <c r="H32" i="20"/>
  <c r="AK32" i="20"/>
  <c r="G26" i="14"/>
  <c r="U10" i="11"/>
  <c r="AD32" i="20"/>
  <c r="AU32" i="20"/>
  <c r="U12" i="11"/>
  <c r="AX32" i="20"/>
  <c r="W32" i="20"/>
  <c r="U18" i="11"/>
  <c r="AF32" i="20"/>
  <c r="AP32" i="20"/>
  <c r="AG32" i="20"/>
  <c r="AQ32" i="20"/>
  <c r="AE32" i="20"/>
  <c r="AO32" i="20"/>
  <c r="U17" i="11"/>
  <c r="T32" i="21"/>
  <c r="F32" i="20"/>
  <c r="M32" i="20"/>
  <c r="P32" i="20"/>
  <c r="J32" i="20"/>
  <c r="AZ32" i="20"/>
  <c r="O10" i="11"/>
  <c r="AL32" i="20"/>
  <c r="O17" i="11"/>
  <c r="Z32" i="20"/>
  <c r="T32" i="20"/>
  <c r="AM32" i="20"/>
  <c r="Q32" i="20"/>
  <c r="W32" i="21"/>
  <c r="E32" i="20"/>
  <c r="AV32" i="20"/>
  <c r="O32" i="20"/>
  <c r="AQ32" i="21"/>
  <c r="Y32" i="20"/>
  <c r="L32" i="20"/>
  <c r="AJ32" i="20"/>
  <c r="AH32" i="20"/>
  <c r="I32" i="20"/>
  <c r="O18" i="11"/>
  <c r="AB32" i="20"/>
  <c r="AI32" i="20"/>
  <c r="S32" i="20"/>
  <c r="R32" i="20"/>
  <c r="N32" i="20"/>
  <c r="AA32" i="20"/>
  <c r="G14" i="14"/>
  <c r="AC32" i="20"/>
  <c r="AN32" i="20"/>
  <c r="K16" i="12" l="1"/>
  <c r="BF23" i="13"/>
  <c r="I16" i="12"/>
  <c r="Q25" i="11"/>
  <c r="N26" i="11"/>
  <c r="Q26" i="11" s="1"/>
  <c r="AB33" i="21"/>
  <c r="I12" i="12"/>
  <c r="BE26" i="13"/>
  <c r="K10" i="12"/>
  <c r="I13" i="12"/>
  <c r="I10" i="12"/>
  <c r="I11" i="12"/>
  <c r="C14" i="6"/>
  <c r="BB26" i="16"/>
  <c r="W23" i="16"/>
  <c r="W26" i="16" s="1"/>
  <c r="W30" i="16" s="1"/>
  <c r="AI31" i="13"/>
  <c r="L31" i="13"/>
  <c r="N31" i="13"/>
  <c r="BC26" i="13"/>
  <c r="BD18" i="13"/>
  <c r="BA14" i="13"/>
  <c r="BF14" i="13" s="1"/>
  <c r="BA30" i="13"/>
  <c r="BE22" i="13"/>
  <c r="BE29" i="13"/>
  <c r="BD22" i="13"/>
  <c r="AK31" i="13"/>
  <c r="BG13" i="13"/>
  <c r="BE20" i="13"/>
  <c r="BF21" i="13"/>
  <c r="BF29" i="13"/>
  <c r="BE10" i="13"/>
  <c r="BF20" i="13"/>
  <c r="Q31" i="17"/>
  <c r="S23" i="16"/>
  <c r="S31" i="16" s="1"/>
  <c r="AO28" i="11"/>
  <c r="J20" i="12"/>
  <c r="J28" i="10"/>
  <c r="L28" i="10" s="1"/>
  <c r="J19" i="12"/>
  <c r="AL28" i="11"/>
  <c r="I9" i="12"/>
  <c r="H26" i="3"/>
  <c r="I26" i="3" s="1"/>
  <c r="D26" i="3"/>
  <c r="E26" i="3" s="1"/>
  <c r="J19" i="7"/>
  <c r="E26" i="12"/>
  <c r="C26" i="7"/>
  <c r="BD19" i="8"/>
  <c r="H19" i="7" s="1"/>
  <c r="BE19" i="8"/>
  <c r="I19" i="7" s="1"/>
  <c r="BG19" i="8"/>
  <c r="BJ23" i="11"/>
  <c r="K29" i="7"/>
  <c r="AK30" i="11"/>
  <c r="AG30" i="11"/>
  <c r="AI23" i="11"/>
  <c r="AE14" i="11"/>
  <c r="AG14" i="11"/>
  <c r="U31" i="8"/>
  <c r="Q31" i="8"/>
  <c r="AU26" i="21"/>
  <c r="H25" i="2"/>
  <c r="J22" i="10"/>
  <c r="L22" i="10" s="1"/>
  <c r="J10" i="10"/>
  <c r="L10" i="10" s="1"/>
  <c r="J9" i="10"/>
  <c r="L9" i="10" s="1"/>
  <c r="D14" i="5"/>
  <c r="G12" i="12"/>
  <c r="E11" i="12"/>
  <c r="F9" i="12"/>
  <c r="G30" i="12"/>
  <c r="BG30" i="16"/>
  <c r="F26" i="7"/>
  <c r="BB26" i="8"/>
  <c r="BE26" i="8" s="1"/>
  <c r="BG22" i="8"/>
  <c r="K22" i="7" s="1"/>
  <c r="BF11" i="8"/>
  <c r="J11" i="7" s="1"/>
  <c r="C20" i="14"/>
  <c r="K20" i="14" s="1"/>
  <c r="BD11" i="8"/>
  <c r="H11" i="7" s="1"/>
  <c r="BG17" i="8"/>
  <c r="K17" i="7" s="1"/>
  <c r="AH14" i="11"/>
  <c r="E18" i="6"/>
  <c r="N14" i="17"/>
  <c r="K14" i="17"/>
  <c r="J14" i="17"/>
  <c r="K23" i="17"/>
  <c r="AF14" i="17"/>
  <c r="AX33" i="17"/>
  <c r="I30" i="17"/>
  <c r="AQ22" i="17"/>
  <c r="AQ10" i="17"/>
  <c r="K30" i="17"/>
  <c r="U30" i="16"/>
  <c r="AL16" i="11"/>
  <c r="W30" i="11"/>
  <c r="F17" i="11"/>
  <c r="F23" i="11" s="1"/>
  <c r="AV14" i="11"/>
  <c r="AX33" i="11"/>
  <c r="AA14" i="11"/>
  <c r="AC12" i="11"/>
  <c r="AB23" i="11"/>
  <c r="AD26" i="11"/>
  <c r="AQ22" i="11"/>
  <c r="I23" i="11"/>
  <c r="N12" i="11"/>
  <c r="P12" i="11" s="1"/>
  <c r="L23" i="11"/>
  <c r="L26" i="11"/>
  <c r="H23" i="12"/>
  <c r="H33" i="12" s="1"/>
  <c r="I28" i="3"/>
  <c r="I22" i="3"/>
  <c r="E20" i="3"/>
  <c r="E18" i="3"/>
  <c r="I16" i="3"/>
  <c r="G10" i="3"/>
  <c r="AO26" i="16"/>
  <c r="AB26" i="16"/>
  <c r="BF26" i="16"/>
  <c r="AG26" i="17"/>
  <c r="BL29" i="16"/>
  <c r="BF30" i="16"/>
  <c r="AV14" i="16"/>
  <c r="AG14" i="17"/>
  <c r="AJ23" i="17"/>
  <c r="AJ14" i="17"/>
  <c r="AK23" i="17"/>
  <c r="AK14" i="17"/>
  <c r="AL14" i="17"/>
  <c r="AM14" i="17"/>
  <c r="AV14" i="17"/>
  <c r="AV31" i="17" s="1"/>
  <c r="AT31" i="17"/>
  <c r="G14" i="16"/>
  <c r="EM31" i="8"/>
  <c r="G14" i="21"/>
  <c r="G33" i="21" s="1"/>
  <c r="E14" i="21"/>
  <c r="N14" i="21"/>
  <c r="N31" i="21" s="1"/>
  <c r="O14" i="21"/>
  <c r="O31" i="21" s="1"/>
  <c r="AG14" i="21"/>
  <c r="AG31" i="21" s="1"/>
  <c r="AL14" i="21"/>
  <c r="AL33" i="21" s="1"/>
  <c r="AN14" i="21"/>
  <c r="AN31" i="21" s="1"/>
  <c r="AY14" i="21"/>
  <c r="BA33" i="21"/>
  <c r="AT10" i="21"/>
  <c r="C18" i="14"/>
  <c r="K18" i="14" s="1"/>
  <c r="F30" i="14"/>
  <c r="C25" i="14"/>
  <c r="K25" i="14" s="1"/>
  <c r="F12" i="12"/>
  <c r="D12" i="12"/>
  <c r="Q20" i="11"/>
  <c r="AJ30" i="11"/>
  <c r="AE30" i="11"/>
  <c r="G30" i="11"/>
  <c r="AJ26" i="11"/>
  <c r="AE26" i="11"/>
  <c r="G26" i="11"/>
  <c r="AS14" i="11"/>
  <c r="AS23" i="11"/>
  <c r="E14" i="11"/>
  <c r="AH23" i="11"/>
  <c r="AH26" i="11"/>
  <c r="AH30" i="11"/>
  <c r="AC25" i="11"/>
  <c r="AC26" i="11" s="1"/>
  <c r="S14" i="11"/>
  <c r="T14" i="11" s="1"/>
  <c r="AQ25" i="11"/>
  <c r="AI14" i="11"/>
  <c r="AU14" i="11"/>
  <c r="AP18" i="11"/>
  <c r="AT14" i="11"/>
  <c r="AV23" i="11"/>
  <c r="AV26" i="11" s="1"/>
  <c r="R14" i="11"/>
  <c r="R26" i="11"/>
  <c r="Y19" i="11"/>
  <c r="X26" i="11"/>
  <c r="Z14" i="11"/>
  <c r="AD14" i="11"/>
  <c r="AF23" i="11"/>
  <c r="AF14" i="11"/>
  <c r="Q16" i="11"/>
  <c r="I14" i="11"/>
  <c r="J23" i="11"/>
  <c r="J30" i="11"/>
  <c r="L30" i="11"/>
  <c r="AC16" i="11"/>
  <c r="AY14" i="11"/>
  <c r="AY23" i="11"/>
  <c r="AY26" i="11" s="1"/>
  <c r="AY30" i="11" s="1"/>
  <c r="D30" i="5"/>
  <c r="D26" i="5"/>
  <c r="C23" i="5"/>
  <c r="B14" i="5"/>
  <c r="D12" i="6"/>
  <c r="J12" i="12" s="1"/>
  <c r="AN12" i="11"/>
  <c r="AN19" i="11"/>
  <c r="D17" i="6"/>
  <c r="J17" i="12" s="1"/>
  <c r="E17" i="3"/>
  <c r="BI21" i="16"/>
  <c r="BI23" i="16" s="1"/>
  <c r="AN21" i="11"/>
  <c r="E22" i="3"/>
  <c r="G25" i="3"/>
  <c r="I18" i="3"/>
  <c r="J21" i="7"/>
  <c r="J13" i="10"/>
  <c r="L13" i="10" s="1"/>
  <c r="J16" i="10"/>
  <c r="L16" i="10" s="1"/>
  <c r="AM14" i="11"/>
  <c r="AO29" i="11"/>
  <c r="B28" i="6"/>
  <c r="D13" i="2"/>
  <c r="AO13" i="11"/>
  <c r="I13" i="7"/>
  <c r="L10" i="14"/>
  <c r="J10" i="2"/>
  <c r="E30" i="2"/>
  <c r="H28" i="7"/>
  <c r="F30" i="2"/>
  <c r="D13" i="6"/>
  <c r="J13" i="12" s="1"/>
  <c r="B13" i="6"/>
  <c r="J13" i="7"/>
  <c r="AL21" i="11"/>
  <c r="AO21" i="11"/>
  <c r="E22" i="6"/>
  <c r="E19" i="6"/>
  <c r="K19" i="12" s="1"/>
  <c r="AO22" i="11"/>
  <c r="K19" i="7"/>
  <c r="D16" i="6"/>
  <c r="J16" i="12" s="1"/>
  <c r="H17" i="7"/>
  <c r="H13" i="2"/>
  <c r="I18" i="7"/>
  <c r="L19" i="14"/>
  <c r="M30" i="2"/>
  <c r="M31" i="2" s="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AP31" i="16" s="1"/>
  <c r="BD14" i="16"/>
  <c r="Q26" i="16"/>
  <c r="K31" i="13"/>
  <c r="D14" i="14"/>
  <c r="G14" i="11"/>
  <c r="D14" i="12" s="1"/>
  <c r="C14" i="2"/>
  <c r="C31" i="2" s="1"/>
  <c r="G14" i="17"/>
  <c r="BH14" i="16"/>
  <c r="E14" i="7"/>
  <c r="AA14" i="17"/>
  <c r="BG14" i="16"/>
  <c r="G14" i="7"/>
  <c r="K14" i="2"/>
  <c r="K31" i="2" s="1"/>
  <c r="T14" i="17"/>
  <c r="BH23" i="16"/>
  <c r="BG23" i="16"/>
  <c r="F23" i="12"/>
  <c r="AP23" i="21"/>
  <c r="D23" i="14"/>
  <c r="G23" i="11"/>
  <c r="AV30" i="21"/>
  <c r="AR30" i="21" s="1"/>
  <c r="AB30" i="11"/>
  <c r="C30" i="5"/>
  <c r="AR30" i="11"/>
  <c r="AW30" i="21"/>
  <c r="BM30" i="16"/>
  <c r="B30" i="5"/>
  <c r="B31" i="7"/>
  <c r="B14" i="6"/>
  <c r="H14" i="2"/>
  <c r="AL14" i="11"/>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Y14" i="11" s="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H23" i="11"/>
  <c r="X14" i="11"/>
  <c r="H30" i="11"/>
  <c r="AB26" i="11"/>
  <c r="N30" i="11"/>
  <c r="Q30" i="11" s="1"/>
  <c r="AA23" i="11"/>
  <c r="M23" i="11"/>
  <c r="Y26" i="11"/>
  <c r="C17" i="14"/>
  <c r="K17" i="14" s="1"/>
  <c r="F26" i="14"/>
  <c r="H26" i="2"/>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J21" i="12"/>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I22" i="12"/>
  <c r="K31" i="8"/>
  <c r="F30" i="12"/>
  <c r="BG11" i="8"/>
  <c r="K11" i="7" s="1"/>
  <c r="BD10" i="8"/>
  <c r="H10" i="7" s="1"/>
  <c r="AQ20" i="11"/>
  <c r="AF31" i="8"/>
  <c r="AG26" i="16"/>
  <c r="AG31" i="16" s="1"/>
  <c r="AA26" i="17"/>
  <c r="AK26" i="17"/>
  <c r="Q30" i="16"/>
  <c r="AC14" i="16"/>
  <c r="AE23" i="17"/>
  <c r="H23" i="17"/>
  <c r="H31" i="17" s="1"/>
  <c r="AH14" i="21"/>
  <c r="AH31" i="21" s="1"/>
  <c r="N30" i="2"/>
  <c r="D30" i="7"/>
  <c r="B23" i="5"/>
  <c r="AY26" i="8"/>
  <c r="AY31" i="8" s="1"/>
  <c r="AQ21" i="11"/>
  <c r="AW26" i="16"/>
  <c r="G26" i="17"/>
  <c r="E14" i="16"/>
  <c r="F12" i="16"/>
  <c r="BL12" i="16" s="1"/>
  <c r="K14" i="21"/>
  <c r="K31" i="21" s="1"/>
  <c r="U23" i="16"/>
  <c r="L14" i="16"/>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AO31" i="20" s="1"/>
  <c r="M31" i="20"/>
  <c r="AD23" i="20"/>
  <c r="AD33" i="20" s="1"/>
  <c r="AI23" i="20"/>
  <c r="AI31" i="20" s="1"/>
  <c r="F17" i="20"/>
  <c r="AS17" i="20" s="1"/>
  <c r="K31" i="19"/>
  <c r="AQ31" i="20" s="1"/>
  <c r="O31" i="19"/>
  <c r="W31" i="19"/>
  <c r="AE31" i="19"/>
  <c r="BH31" i="19"/>
  <c r="BC33" i="20"/>
  <c r="AC14" i="21"/>
  <c r="AC33" i="21" s="1"/>
  <c r="Q14" i="21"/>
  <c r="Q31" i="21" s="1"/>
  <c r="BE33" i="21"/>
  <c r="AK31" i="20"/>
  <c r="AP26" i="20"/>
  <c r="AS14" i="20"/>
  <c r="I23" i="20"/>
  <c r="I31" i="20" s="1"/>
  <c r="BC31" i="21"/>
  <c r="AZ31" i="19"/>
  <c r="AD14" i="21"/>
  <c r="AD31" i="21" s="1"/>
  <c r="Z14" i="21"/>
  <c r="AK33" i="20"/>
  <c r="V14" i="21"/>
  <c r="V31" i="21" s="1"/>
  <c r="BG30" i="19"/>
  <c r="AJ14" i="21"/>
  <c r="F14" i="21"/>
  <c r="F31" i="21" s="1"/>
  <c r="Q31" i="20"/>
  <c r="CI31" i="19"/>
  <c r="AS31" i="21" s="1"/>
  <c r="EN31" i="19"/>
  <c r="AM23" i="20"/>
  <c r="AM33" i="20" s="1"/>
  <c r="EQ31" i="19"/>
  <c r="U23" i="20"/>
  <c r="U26" i="20" s="1"/>
  <c r="AT12" i="21"/>
  <c r="AH31" i="19"/>
  <c r="AH23" i="20"/>
  <c r="AH31" i="20" s="1"/>
  <c r="AO33" i="21"/>
  <c r="BG23" i="19"/>
  <c r="I14" i="21"/>
  <c r="I31" i="21" s="1"/>
  <c r="EO31" i="19"/>
  <c r="C11" i="14"/>
  <c r="K11" i="14" s="1"/>
  <c r="I25" i="7"/>
  <c r="I25" i="12"/>
  <c r="AA26" i="21"/>
  <c r="Z30" i="21"/>
  <c r="S14" i="21"/>
  <c r="S31" i="21" s="1"/>
  <c r="AE23" i="11"/>
  <c r="AJ14" i="11"/>
  <c r="F23" i="14"/>
  <c r="BE21" i="8"/>
  <c r="I21" i="7" s="1"/>
  <c r="E23" i="14"/>
  <c r="C19" i="14"/>
  <c r="F14" i="14"/>
  <c r="J31" i="8"/>
  <c r="C9" i="14"/>
  <c r="AQ9" i="11"/>
  <c r="BC23" i="8"/>
  <c r="BD20" i="8"/>
  <c r="H20" i="7" s="1"/>
  <c r="BG20" i="8"/>
  <c r="AZ23" i="8"/>
  <c r="BE23" i="13"/>
  <c r="BB31" i="13"/>
  <c r="AQ17" i="17"/>
  <c r="AY31" i="21"/>
  <c r="I26" i="2"/>
  <c r="AG23" i="11"/>
  <c r="AK23" i="11"/>
  <c r="E14" i="14"/>
  <c r="K21" i="7"/>
  <c r="K21" i="12"/>
  <c r="U14" i="17"/>
  <c r="BV14" i="16"/>
  <c r="D31" i="12"/>
  <c r="I18" i="12"/>
  <c r="BW33" i="20"/>
  <c r="P21" i="11"/>
  <c r="Q21" i="11"/>
  <c r="P9" i="11"/>
  <c r="Q29" i="11"/>
  <c r="P29" i="11"/>
  <c r="Q10" i="11"/>
  <c r="D11" i="6"/>
  <c r="E11" i="3"/>
  <c r="BC26" i="8"/>
  <c r="BF26" i="8" s="1"/>
  <c r="R16" i="14"/>
  <c r="BH17" i="16"/>
  <c r="AO27" i="17"/>
  <c r="AM18" i="11"/>
  <c r="BI17" i="11"/>
  <c r="BI23" i="11" s="1"/>
  <c r="BI13" i="11"/>
  <c r="BG18" i="11"/>
  <c r="BI11" i="11"/>
  <c r="BH28" i="11"/>
  <c r="AP20" i="20"/>
  <c r="S26" i="11"/>
  <c r="J29" i="7"/>
  <c r="H29" i="7"/>
  <c r="E29" i="6"/>
  <c r="K29" i="12" s="1"/>
  <c r="L29" i="14"/>
  <c r="D29" i="6"/>
  <c r="J29" i="12" s="1"/>
  <c r="I29" i="7"/>
  <c r="AV26" i="21"/>
  <c r="AR26" i="11"/>
  <c r="P31" i="8"/>
  <c r="BM26" i="16"/>
  <c r="X31" i="21"/>
  <c r="H23" i="2"/>
  <c r="AO11" i="17"/>
  <c r="X28" i="17"/>
  <c r="AA21" i="16"/>
  <c r="T10" i="11"/>
  <c r="AQ23" i="21"/>
  <c r="AM29" i="11"/>
  <c r="AM10" i="11"/>
  <c r="T23"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U26" i="17" s="1"/>
  <c r="AA13" i="16"/>
  <c r="AA19" i="16"/>
  <c r="X18" i="16"/>
  <c r="V28" i="16"/>
  <c r="R20" i="14"/>
  <c r="AA10" i="21"/>
  <c r="J28" i="2"/>
  <c r="D14" i="3"/>
  <c r="N31" i="8"/>
  <c r="G31" i="7" s="1"/>
  <c r="G30" i="7"/>
  <c r="BG13" i="8"/>
  <c r="K13" i="7" s="1"/>
  <c r="BD13" i="8"/>
  <c r="H13" i="7" s="1"/>
  <c r="AM23" i="11"/>
  <c r="B26" i="6"/>
  <c r="AP31" i="20"/>
  <c r="BH12" i="11"/>
  <c r="BH14" i="11" s="1"/>
  <c r="BM19" i="11"/>
  <c r="BG28" i="11"/>
  <c r="S12" i="17"/>
  <c r="AO23" i="17"/>
  <c r="AM28" i="11"/>
  <c r="BM28" i="11"/>
  <c r="Q28" i="11" s="1"/>
  <c r="AQ30" i="21"/>
  <c r="BH29" i="16"/>
  <c r="BJ13" i="11"/>
  <c r="X29" i="17"/>
  <c r="AP12" i="21"/>
  <c r="BM11" i="11"/>
  <c r="BM10" i="11"/>
  <c r="BF9" i="11"/>
  <c r="AP19" i="20"/>
  <c r="V17" i="16"/>
  <c r="AN30" i="17"/>
  <c r="AN33" i="17" s="1"/>
  <c r="H22" i="2"/>
  <c r="F22" i="2"/>
  <c r="J11" i="2"/>
  <c r="F11" i="2"/>
  <c r="S25" i="14"/>
  <c r="V25" i="14" s="1"/>
  <c r="V26" i="14" s="1"/>
  <c r="C28" i="14"/>
  <c r="K28" i="14" s="1"/>
  <c r="AS26" i="11"/>
  <c r="BE17" i="8"/>
  <c r="I17" i="7" s="1"/>
  <c r="BB23" i="8"/>
  <c r="BG26" i="13"/>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BK31" i="16" s="1"/>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K32" i="20"/>
  <c r="O12" i="11"/>
  <c r="H32" i="17"/>
  <c r="AW32" i="11"/>
  <c r="AV32" i="21"/>
  <c r="Q12" i="11" l="1"/>
  <c r="S26" i="14"/>
  <c r="K22" i="12"/>
  <c r="AF31" i="11"/>
  <c r="AE31" i="11"/>
  <c r="I21" i="12"/>
  <c r="BK31" i="11"/>
  <c r="AH31" i="11"/>
  <c r="G33" i="11"/>
  <c r="J33" i="20"/>
  <c r="AO31" i="16"/>
  <c r="Z31" i="11"/>
  <c r="AN23" i="11"/>
  <c r="E31" i="2"/>
  <c r="S23" i="14"/>
  <c r="AP14" i="11"/>
  <c r="AI33" i="11"/>
  <c r="I33" i="11"/>
  <c r="G31" i="21"/>
  <c r="AU31" i="21"/>
  <c r="K31" i="17"/>
  <c r="G31" i="16"/>
  <c r="J33" i="17"/>
  <c r="AK31" i="11"/>
  <c r="AN26" i="11"/>
  <c r="J11" i="12"/>
  <c r="AG33" i="11"/>
  <c r="BG33" i="16"/>
  <c r="AL31" i="21"/>
  <c r="AG33" i="17"/>
  <c r="U31" i="16"/>
  <c r="H31" i="11"/>
  <c r="AA31" i="11"/>
  <c r="AI31" i="11"/>
  <c r="L31" i="11"/>
  <c r="G32" i="21"/>
  <c r="I31" i="11"/>
  <c r="R31" i="11"/>
  <c r="AJ33" i="11"/>
  <c r="D26" i="6"/>
  <c r="J26" i="12" s="1"/>
  <c r="F23" i="20"/>
  <c r="F33" i="20" s="1"/>
  <c r="X23" i="20"/>
  <c r="AY33" i="21"/>
  <c r="AX33" i="20"/>
  <c r="BA31" i="13"/>
  <c r="BD31" i="13" s="1"/>
  <c r="AJ33" i="17"/>
  <c r="D31" i="14"/>
  <c r="AC30" i="11"/>
  <c r="G32" i="11"/>
  <c r="D33" i="12"/>
  <c r="N31" i="2"/>
  <c r="I31" i="2"/>
  <c r="BG31" i="19"/>
  <c r="AR31" i="20"/>
  <c r="AU33" i="21"/>
  <c r="AN30" i="11"/>
  <c r="AQ26" i="11"/>
  <c r="AS32" i="20"/>
  <c r="G33" i="20"/>
  <c r="G31" i="20"/>
  <c r="AQ31" i="21"/>
  <c r="AN33" i="20"/>
  <c r="AN33" i="21"/>
  <c r="O31" i="16"/>
  <c r="BD30" i="13"/>
  <c r="BE30" i="13"/>
  <c r="BG30" i="13"/>
  <c r="BF30" i="13"/>
  <c r="BC31" i="13"/>
  <c r="BF26" i="13"/>
  <c r="BG14" i="13"/>
  <c r="BD14" i="13"/>
  <c r="BE14" i="13"/>
  <c r="E31" i="17"/>
  <c r="BE23" i="8"/>
  <c r="I23" i="7" s="1"/>
  <c r="E33" i="12"/>
  <c r="F31" i="14"/>
  <c r="C26" i="14"/>
  <c r="Y23" i="11"/>
  <c r="AC14" i="11"/>
  <c r="W31" i="11"/>
  <c r="D31" i="2"/>
  <c r="BD31" i="16"/>
  <c r="J31" i="11"/>
  <c r="K17" i="12"/>
  <c r="I19" i="12"/>
  <c r="AG31" i="11"/>
  <c r="X31" i="11"/>
  <c r="AB31" i="11"/>
  <c r="M31" i="11"/>
  <c r="G31" i="11"/>
  <c r="D31" i="5"/>
  <c r="B31" i="5"/>
  <c r="K30" i="20"/>
  <c r="AS26" i="20"/>
  <c r="BF33" i="16"/>
  <c r="L30" i="20"/>
  <c r="AC31" i="20"/>
  <c r="K32" i="12"/>
  <c r="J32" i="17"/>
  <c r="AC32" i="11"/>
  <c r="AY32" i="16"/>
  <c r="F32" i="12"/>
  <c r="F32" i="16"/>
  <c r="AT32" i="11"/>
  <c r="AW32" i="17"/>
  <c r="R32" i="11"/>
  <c r="AQ32" i="16"/>
  <c r="AY32" i="11"/>
  <c r="AG32" i="16"/>
  <c r="V32" i="16"/>
  <c r="BD32" i="16"/>
  <c r="O32" i="11"/>
  <c r="L32" i="17"/>
  <c r="AD32" i="17"/>
  <c r="AO32" i="16"/>
  <c r="K32" i="16"/>
  <c r="M32" i="16"/>
  <c r="J32" i="12"/>
  <c r="U32" i="21"/>
  <c r="BB32" i="16"/>
  <c r="AM32" i="11"/>
  <c r="H32" i="21"/>
  <c r="AS32" i="11"/>
  <c r="AJ32" i="17"/>
  <c r="S32" i="17"/>
  <c r="S32" i="11"/>
  <c r="AR32" i="17"/>
  <c r="K32" i="17"/>
  <c r="AE32" i="21"/>
  <c r="BG32" i="16"/>
  <c r="AT32" i="17"/>
  <c r="K32" i="11"/>
  <c r="BJ32" i="16"/>
  <c r="AA32" i="11"/>
  <c r="M32" i="11"/>
  <c r="R32" i="21"/>
  <c r="AJ32" i="16"/>
  <c r="BC32" i="21"/>
  <c r="AV32" i="17"/>
  <c r="AJ32" i="11"/>
  <c r="AN32" i="21"/>
  <c r="X32" i="16"/>
  <c r="V32" i="11"/>
  <c r="AU32" i="21"/>
  <c r="BO32" i="16"/>
  <c r="T32" i="11"/>
  <c r="T32" i="17"/>
  <c r="BE32" i="21"/>
  <c r="AP32" i="17"/>
  <c r="AP32" i="16"/>
  <c r="AX32" i="16"/>
  <c r="AG32" i="21"/>
  <c r="N32" i="16"/>
  <c r="AE32" i="17"/>
  <c r="AW32" i="16"/>
  <c r="AB32" i="21"/>
  <c r="AF32" i="17"/>
  <c r="J32" i="11"/>
  <c r="AC32" i="17"/>
  <c r="R32" i="17"/>
  <c r="AN32" i="16"/>
  <c r="AO32" i="17"/>
  <c r="BF32" i="16"/>
  <c r="AL32" i="16"/>
  <c r="AH32" i="16"/>
  <c r="W32" i="17"/>
  <c r="H32" i="11"/>
  <c r="I32" i="16"/>
  <c r="AM32" i="17"/>
  <c r="AR32" i="20"/>
  <c r="AH32" i="11"/>
  <c r="P32" i="11"/>
  <c r="AI32" i="17"/>
  <c r="M32" i="21"/>
  <c r="BK32" i="16"/>
  <c r="AT32" i="20"/>
  <c r="F32" i="11"/>
  <c r="AP32" i="21"/>
  <c r="BI32" i="16"/>
  <c r="V32" i="17"/>
  <c r="O32" i="17"/>
  <c r="N32" i="21"/>
  <c r="Y32" i="16"/>
  <c r="R32" i="16"/>
  <c r="AL32" i="21"/>
  <c r="E32" i="16"/>
  <c r="BN32" i="16"/>
  <c r="AI32" i="16"/>
  <c r="AZ32" i="16"/>
  <c r="AD32" i="11"/>
  <c r="L32" i="11"/>
  <c r="AB32" i="11"/>
  <c r="I32" i="17"/>
  <c r="Q32" i="21"/>
  <c r="AF32" i="21"/>
  <c r="N32" i="17"/>
  <c r="AD32" i="16"/>
  <c r="W32" i="11"/>
  <c r="K32" i="21"/>
  <c r="BA32" i="16"/>
  <c r="AN32" i="17"/>
  <c r="X32" i="11"/>
  <c r="BC32" i="16"/>
  <c r="AZ32" i="11"/>
  <c r="AF32" i="11"/>
  <c r="Q32" i="11"/>
  <c r="U32" i="20"/>
  <c r="BH32" i="16"/>
  <c r="AO32" i="11"/>
  <c r="J32" i="21"/>
  <c r="O32" i="21"/>
  <c r="AG32" i="11"/>
  <c r="AE32" i="16"/>
  <c r="I32" i="12"/>
  <c r="AA32" i="21"/>
  <c r="Q32" i="16"/>
  <c r="Z32" i="21"/>
  <c r="P32" i="16"/>
  <c r="J32" i="16"/>
  <c r="X32" i="21"/>
  <c r="S32" i="21"/>
  <c r="AC32" i="16"/>
  <c r="AY32" i="21"/>
  <c r="W32" i="16"/>
  <c r="Z32" i="17"/>
  <c r="U32" i="16"/>
  <c r="AK32" i="16"/>
  <c r="AS32" i="21"/>
  <c r="AB32" i="16"/>
  <c r="AC32" i="21"/>
  <c r="AI32" i="11"/>
  <c r="AL32" i="11"/>
  <c r="S32" i="16"/>
  <c r="T32" i="16"/>
  <c r="E32" i="21"/>
  <c r="P32" i="17"/>
  <c r="D32" i="12"/>
  <c r="BD32" i="21"/>
  <c r="L32" i="21"/>
  <c r="AO32" i="21"/>
  <c r="Y32" i="11"/>
  <c r="V32" i="20"/>
  <c r="AK32" i="17"/>
  <c r="AA32" i="16"/>
  <c r="Z32" i="16"/>
  <c r="E32" i="11"/>
  <c r="AW32" i="21"/>
  <c r="AF32" i="16"/>
  <c r="O32" i="16"/>
  <c r="AA32" i="17"/>
  <c r="H32" i="12"/>
  <c r="X32" i="17"/>
  <c r="BE32" i="16"/>
  <c r="U32" i="11"/>
  <c r="AT32" i="16"/>
  <c r="AH32" i="17"/>
  <c r="AI32" i="21"/>
  <c r="AK32" i="21"/>
  <c r="AE32" i="11"/>
  <c r="U32" i="17"/>
  <c r="BM32" i="16"/>
  <c r="Q32" i="17"/>
  <c r="I32" i="21"/>
  <c r="V32" i="21"/>
  <c r="AB32" i="17"/>
  <c r="E32" i="12"/>
  <c r="BS32" i="16"/>
  <c r="AD32" i="21"/>
  <c r="F32" i="21"/>
  <c r="Y32" i="21"/>
  <c r="AR32" i="21"/>
  <c r="Y32" i="17"/>
  <c r="M32" i="17"/>
  <c r="P32" i="21"/>
  <c r="AL32" i="17"/>
  <c r="AK32" i="11"/>
  <c r="Z32" i="11"/>
  <c r="H32" i="16"/>
  <c r="AS32" i="17"/>
  <c r="L32" i="16"/>
  <c r="BQ32" i="16"/>
  <c r="AU32" i="16"/>
  <c r="G32" i="12"/>
  <c r="AN32" i="11"/>
  <c r="AM32" i="21"/>
  <c r="N32" i="11"/>
  <c r="E32" i="17"/>
  <c r="AU32" i="11"/>
  <c r="AM32" i="16"/>
  <c r="AS32" i="16"/>
  <c r="AV32" i="11"/>
  <c r="AG32" i="17"/>
  <c r="AR32" i="16"/>
  <c r="I32" i="11"/>
  <c r="F32" i="17"/>
  <c r="AR32" i="11"/>
  <c r="AH32" i="21"/>
  <c r="BE31" i="13" l="1"/>
  <c r="BF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T32" i="21"/>
  <c r="BL32" i="16"/>
  <c r="AQ32" i="11"/>
  <c r="AQ32" i="17"/>
  <c r="AP32" i="11"/>
  <c r="AY31" i="11"/>
  <c r="H30" i="2"/>
  <c r="AL30" i="11"/>
  <c r="AL33" i="11" s="1"/>
  <c r="G31" i="2"/>
  <c r="B30" i="6"/>
  <c r="Y31" i="16"/>
  <c r="I23" i="12"/>
  <c r="BE33" i="16"/>
  <c r="I33" i="21"/>
  <c r="AP31" i="21"/>
  <c r="D31" i="7"/>
  <c r="AO31" i="17"/>
  <c r="F31" i="12"/>
  <c r="BH31" i="16"/>
  <c r="P31" i="16"/>
  <c r="AG31" i="17"/>
  <c r="AP33" i="21"/>
  <c r="S14" i="17"/>
  <c r="AO30" i="11"/>
  <c r="AO33" i="11" s="1"/>
  <c r="AV31" i="16"/>
  <c r="J22" i="12"/>
  <c r="AQ33" i="21"/>
  <c r="AJ31" i="17"/>
  <c r="B31" i="2"/>
  <c r="F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K13" i="12"/>
  <c r="AU31" i="16"/>
  <c r="AU33" i="16"/>
  <c r="AL31" i="17"/>
  <c r="AL33" i="17"/>
  <c r="AT33" i="16"/>
  <c r="AT31" i="16"/>
  <c r="P10" i="11"/>
  <c r="BM14" i="11"/>
  <c r="AR31" i="11"/>
  <c r="AV31" i="21"/>
  <c r="AR31" i="17"/>
  <c r="W30" i="20"/>
  <c r="X26" i="20"/>
  <c r="BF31" i="16"/>
  <c r="G32" i="16"/>
  <c r="J31" i="2"/>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K26" i="12"/>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AV32" i="16"/>
  <c r="AJ32" i="21"/>
  <c r="F33" i="11" l="1"/>
  <c r="BM31" i="11"/>
  <c r="V31" i="16"/>
  <c r="BG31" i="11"/>
  <c r="G31" i="3"/>
  <c r="BV33" i="16"/>
  <c r="BV31" i="16"/>
  <c r="BG31" i="8"/>
  <c r="BD31" i="8"/>
  <c r="S31" i="17"/>
  <c r="I31" i="3"/>
  <c r="H31" i="2"/>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K31" i="12" l="1"/>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<sst xmlns="http://schemas.openxmlformats.org/spreadsheetml/2006/main" count="2654" uniqueCount="1183">
  <si>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</si>
  <si>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</si>
  <si>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</si>
  <si>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</si>
  <si>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</si>
  <si>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</si>
  <si>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</si>
  <si>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</si>
  <si>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</si>
  <si>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</si>
  <si>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</si>
  <si>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</si>
  <si>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</si>
  <si>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</si>
  <si>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</si>
  <si>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</si>
  <si>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</si>
  <si>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</si>
  <si>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</si>
  <si>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</si>
  <si>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</si>
  <si>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</si>
  <si>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</si>
  <si>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</si>
  <si>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</si>
  <si>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</si>
  <si>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</si>
  <si>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</si>
  <si>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</si>
  <si>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</si>
  <si>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</si>
  <si>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</si>
  <si>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</si>
  <si>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</si>
  <si>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</si>
  <si>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</si>
  <si>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</si>
  <si>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</si>
  <si>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</si>
  <si>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</si>
  <si>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</si>
  <si>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</si>
  <si>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</si>
  <si>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</si>
  <si>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</si>
  <si>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</si>
  <si>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</si>
  <si>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</si>
  <si>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</si>
  <si>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</si>
  <si>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</si>
  <si>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</si>
  <si>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</si>
  <si>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</si>
  <si>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</si>
  <si>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</si>
  <si>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</si>
  <si>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</si>
  <si>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</si>
  <si>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</si>
  <si>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</si>
  <si>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</si>
  <si>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</si>
  <si>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</si>
  <si>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</si>
  <si>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</si>
  <si>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</si>
  <si>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</si>
  <si>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</si>
  <si>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</si>
  <si>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</si>
  <si>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</si>
  <si>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</si>
  <si>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</si>
  <si>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</si>
  <si>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</si>
  <si>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</si>
  <si>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</si>
  <si>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</si>
  <si>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</si>
  <si>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</si>
  <si>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</si>
  <si>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</si>
  <si>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</si>
  <si>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</si>
  <si>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</si>
  <si>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</si>
  <si>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</si>
  <si>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</si>
  <si>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</si>
  <si>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</si>
  <si>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</si>
  <si>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</si>
  <si>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</si>
  <si>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</si>
  <si>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</si>
  <si>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</si>
  <si>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</si>
  <si>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</si>
  <si>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</si>
  <si>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</si>
  <si>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</si>
  <si>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</si>
  <si>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</si>
  <si>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</si>
  <si>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</si>
  <si>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</si>
  <si>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</si>
  <si>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</si>
  <si>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</si>
  <si>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</si>
  <si>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</si>
  <si>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</si>
  <si>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</si>
  <si>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</si>
  <si>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</si>
  <si>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</si>
  <si>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</si>
  <si>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</si>
  <si>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</si>
  <si>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</si>
  <si>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</si>
  <si>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</si>
  <si>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</si>
  <si>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</si>
  <si>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</si>
  <si>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</si>
  <si>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</si>
  <si>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</si>
  <si>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</si>
  <si>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</si>
  <si>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</si>
  <si>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</si>
  <si>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</si>
  <si>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</si>
  <si>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</si>
  <si>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</si>
  <si>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</si>
  <si>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</si>
  <si>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</si>
  <si>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</si>
  <si>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</si>
  <si>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</si>
  <si>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</si>
  <si>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</si>
  <si>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</si>
  <si>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</si>
  <si>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</si>
  <si>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</si>
  <si>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</si>
  <si>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</si>
  <si>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</si>
  <si>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</si>
  <si>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</si>
  <si>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</si>
  <si>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</si>
  <si>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</si>
  <si>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</si>
  <si>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</si>
  <si>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</si>
  <si>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</si>
  <si>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</si>
  <si>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</si>
  <si>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</si>
  <si>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</si>
  <si>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</si>
  <si>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</si>
  <si>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</si>
  <si>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</si>
  <si>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</si>
  <si>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</si>
  <si>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</si>
  <si>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</si>
  <si>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</si>
  <si>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</si>
  <si>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</si>
  <si>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</si>
  <si>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</si>
  <si>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</si>
  <si>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</si>
  <si>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</si>
  <si>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</si>
  <si>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</si>
  <si>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</si>
  <si>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</si>
  <si>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</si>
  <si>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</si>
  <si>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</si>
  <si>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</si>
  <si>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</si>
  <si>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</si>
  <si>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</si>
  <si>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</si>
  <si>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</si>
  <si>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</si>
  <si>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</si>
  <si>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</si>
  <si>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</si>
  <si>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</si>
  <si>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</si>
  <si>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</si>
  <si>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</si>
  <si>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</si>
  <si>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</si>
  <si>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</si>
  <si>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</si>
  <si>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</si>
  <si>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</si>
  <si>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</si>
  <si>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</si>
  <si>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</si>
  <si>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</si>
  <si>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</si>
  <si>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</si>
  <si>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</si>
  <si>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</si>
  <si>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</si>
  <si>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</si>
  <si>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</si>
  <si>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</si>
  <si>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</si>
  <si>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</si>
  <si>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</si>
  <si>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</si>
  <si>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</si>
  <si>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</si>
  <si>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</si>
  <si>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</si>
  <si>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</si>
  <si>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</si>
  <si>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</si>
  <si>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</si>
  <si>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</si>
  <si>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</si>
  <si>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</si>
  <si>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</si>
  <si>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</si>
  <si>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</si>
  <si>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</si>
  <si>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</si>
  <si>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</si>
  <si>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</si>
  <si>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</si>
  <si>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</si>
  <si>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</si>
  <si>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</si>
  <si>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</si>
  <si>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</si>
  <si>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</si>
  <si>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</si>
  <si>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</si>
  <si>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</si>
  <si>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</si>
  <si>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</si>
  <si>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</si>
  <si>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</si>
  <si>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</si>
  <si>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</si>
  <si>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</si>
  <si>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</si>
  <si>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</si>
  <si>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</si>
  <si>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</si>
  <si>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</si>
  <si>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</si>
  <si>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</si>
  <si>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</si>
  <si>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</si>
  <si>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</si>
  <si>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</si>
  <si>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</si>
  <si>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</si>
  <si>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</si>
  <si>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</si>
  <si>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</si>
  <si>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</si>
  <si>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</si>
  <si>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</si>
  <si>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</si>
  <si>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</si>
  <si>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</si>
  <si>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</si>
  <si>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</si>
  <si>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</si>
  <si>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</si>
  <si>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</si>
  <si>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</si>
  <si>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</si>
  <si>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</si>
  <si>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</si>
  <si>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</si>
  <si>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</si>
  <si>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</si>
  <si>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</si>
  <si>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</si>
  <si>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</si>
  <si>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</si>
  <si>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</si>
  <si>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</si>
  <si>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</si>
  <si>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</si>
  <si>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</si>
  <si>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</si>
  <si>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</si>
  <si>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</si>
  <si>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</si>
  <si>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</si>
  <si>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</si>
  <si>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</si>
  <si>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</si>
  <si>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</si>
  <si>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</si>
  <si>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</si>
  <si>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</si>
  <si>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</si>
  <si>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</si>
  <si>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</si>
  <si>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</si>
  <si>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</si>
  <si>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</si>
  <si>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</si>
  <si>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</si>
  <si>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</si>
  <si>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</si>
  <si>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</si>
  <si>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</si>
  <si>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</si>
  <si>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</si>
  <si>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</si>
  <si>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</si>
  <si>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</si>
  <si>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</si>
  <si>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</si>
  <si>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</si>
  <si>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</si>
  <si>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</si>
  <si>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</si>
  <si>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</si>
  <si>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</si>
  <si>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</si>
  <si>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</si>
  <si>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</si>
  <si>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</si>
  <si>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</si>
  <si>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</si>
  <si>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</si>
  <si>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</si>
  <si>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</si>
  <si>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</si>
  <si>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</si>
  <si>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</si>
  <si>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</si>
  <si>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</si>
  <si>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</si>
  <si>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</si>
  <si>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</si>
  <si>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</si>
  <si>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</si>
  <si>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</si>
  <si>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</si>
  <si>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</si>
  <si>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</si>
  <si>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</si>
  <si>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</si>
  <si>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</si>
  <si>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</si>
  <si>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</si>
  <si>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</si>
  <si>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</si>
  <si>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</si>
  <si>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</si>
  <si>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</si>
  <si>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</si>
  <si>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</si>
  <si>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</si>
  <si>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</si>
  <si>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</si>
  <si>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</si>
  <si>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</si>
  <si>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</si>
  <si>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</si>
  <si>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</si>
  <si>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</si>
  <si>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</si>
  <si>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</si>
  <si>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</si>
  <si>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</si>
  <si>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</si>
  <si>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</si>
  <si>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</si>
  <si>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</si>
  <si>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</si>
  <si>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</si>
  <si>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</si>
  <si>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</si>
  <si>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</si>
  <si>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</si>
  <si>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</si>
  <si>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</si>
  <si>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</si>
  <si>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</si>
  <si>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</si>
  <si>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</si>
  <si>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</si>
  <si>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</si>
  <si>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</si>
  <si>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</si>
  <si>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</si>
  <si>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</si>
  <si>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</si>
  <si>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</si>
  <si>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</si>
  <si>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</si>
  <si>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</si>
  <si>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</si>
  <si>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</si>
  <si>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</si>
  <si>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</si>
  <si>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</si>
  <si>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</si>
  <si>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</si>
  <si>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</si>
  <si>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</si>
  <si>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</si>
  <si>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</si>
  <si>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</si>
  <si>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</si>
  <si>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</si>
  <si>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</si>
  <si>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</si>
  <si>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</si>
  <si>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</si>
  <si>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</si>
  <si>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</si>
  <si>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</si>
  <si>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</si>
  <si>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</si>
  <si>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</si>
  <si>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</si>
  <si>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</si>
  <si>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</si>
  <si>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</si>
  <si>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</si>
  <si>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</si>
  <si>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</si>
  <si>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</si>
  <si>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</si>
  <si>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</si>
  <si>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</si>
  <si>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</si>
  <si>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</si>
  <si>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</si>
  <si>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</si>
  <si>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</si>
  <si>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</si>
  <si>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</si>
  <si>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</si>
  <si>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</si>
  <si>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</si>
  <si>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</si>
  <si>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</si>
  <si>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</si>
  <si>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</si>
  <si>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</si>
  <si>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</si>
  <si>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</si>
  <si>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</si>
  <si>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</si>
  <si>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</si>
  <si>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</si>
  <si>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</si>
  <si>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</si>
  <si>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</si>
  <si>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</si>
  <si>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</si>
  <si>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</si>
  <si>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</si>
  <si>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</si>
  <si>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</si>
  <si>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</si>
  <si>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</si>
  <si>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</si>
  <si>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</si>
  <si>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</si>
  <si>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</si>
  <si>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</si>
  <si>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</si>
  <si>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</si>
  <si>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</si>
  <si>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</si>
  <si>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</si>
  <si>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</si>
  <si>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</si>
  <si>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</si>
  <si>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</si>
  <si>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</si>
  <si>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</si>
  <si>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</si>
  <si>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</si>
  <si>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</si>
  <si>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</si>
  <si>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</si>
  <si>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</si>
  <si>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</si>
  <si>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</si>
  <si>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</si>
  <si>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</si>
  <si>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</si>
  <si>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</si>
  <si>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</si>
  <si>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</si>
  <si>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</si>
  <si>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</si>
  <si>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</si>
  <si>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</si>
  <si>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</si>
  <si>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</si>
  <si>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</si>
  <si>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</si>
  <si>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</si>
  <si>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</si>
  <si>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</si>
  <si>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</si>
  <si>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</si>
  <si>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</si>
  <si>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</si>
  <si>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</si>
  <si>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</si>
  <si>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</si>
  <si>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</si>
  <si>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</si>
  <si>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</si>
  <si>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</si>
  <si>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</si>
  <si>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</si>
  <si>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</si>
  <si>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</si>
  <si>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</si>
  <si>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</si>
  <si>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</si>
  <si>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</si>
  <si>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</si>
  <si>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</si>
  <si>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</si>
  <si>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</si>
  <si>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</si>
  <si>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</si>
  <si>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</si>
  <si>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</si>
  <si>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</si>
  <si>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</si>
  <si>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</si>
  <si>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</si>
  <si>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</si>
  <si>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</si>
  <si>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</si>
  <si>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</si>
  <si>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</si>
  <si>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</si>
  <si>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</si>
  <si>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</si>
  <si>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</si>
  <si>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</si>
  <si>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</si>
  <si>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</si>
  <si>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</si>
  <si>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</si>
  <si>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</si>
  <si>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</si>
  <si>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</si>
  <si>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</si>
  <si>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</si>
  <si>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</si>
  <si>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</si>
  <si>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</si>
  <si>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</si>
  <si>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</si>
  <si>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</si>
  <si>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</si>
  <si>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</si>
  <si>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</si>
  <si>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</si>
  <si>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</si>
  <si>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</si>
  <si>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</si>
  <si>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</si>
  <si>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</si>
  <si>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</si>
  <si>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</si>
  <si>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</si>
  <si>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</si>
  <si>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</si>
  <si>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</si>
  <si>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</si>
  <si>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</si>
  <si>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</si>
  <si>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</si>
  <si>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</si>
  <si>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</si>
  <si>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</si>
  <si>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</si>
  <si>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</si>
  <si>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</si>
  <si>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</si>
  <si>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</si>
  <si>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</si>
  <si>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</si>
  <si>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</si>
  <si>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</si>
  <si>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</si>
  <si>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</si>
  <si>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</si>
  <si>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</si>
  <si>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</si>
  <si>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</si>
  <si>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</si>
  <si>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</si>
  <si>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</si>
  <si>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</si>
  <si>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</si>
  <si>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</si>
  <si>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</si>
  <si>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</si>
  <si>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</si>
  <si>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</si>
  <si>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</si>
  <si>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</si>
  <si>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</si>
  <si>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</si>
  <si>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</si>
  <si>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</si>
  <si>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</si>
  <si>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</si>
  <si>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</si>
  <si>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</si>
  <si>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</si>
  <si>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</si>
  <si>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</si>
  <si>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</si>
  <si>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</si>
  <si>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</si>
  <si>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</si>
  <si>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</si>
  <si>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</si>
  <si>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</si>
  <si>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</si>
  <si>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</si>
  <si>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</si>
  <si>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</si>
  <si>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</si>
  <si>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</si>
  <si>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</si>
  <si>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</si>
  <si>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</si>
  <si>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</si>
  <si>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</si>
  <si>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</si>
  <si>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</si>
  <si>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</si>
  <si>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</si>
  <si>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</si>
  <si>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</si>
  <si>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</si>
  <si>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</si>
  <si>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</si>
  <si>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</si>
  <si>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</si>
  <si>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</si>
  <si>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</si>
  <si>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</si>
  <si>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</si>
  <si>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</si>
  <si>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</si>
  <si>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</si>
  <si>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</si>
  <si>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</si>
  <si>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</si>
  <si>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</si>
  <si>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</si>
  <si>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</si>
  <si>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</si>
  <si>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</si>
  <si>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</si>
  <si>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</si>
  <si>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</si>
  <si>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</si>
  <si>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</si>
  <si>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</si>
  <si>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</si>
  <si>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</si>
  <si>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</si>
  <si>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</si>
  <si>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</si>
  <si>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</si>
  <si>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</si>
  <si>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</si>
  <si>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</si>
  <si>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</si>
  <si>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</si>
  <si>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</si>
  <si>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</si>
  <si>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</si>
  <si>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</si>
  <si>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</si>
  <si>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</si>
  <si>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</si>
  <si>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</si>
  <si>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</si>
  <si>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</si>
  <si>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</si>
  <si>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</si>
  <si>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</si>
  <si>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</si>
  <si>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</si>
  <si>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</si>
  <si>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</si>
  <si>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</si>
  <si>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</si>
  <si>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</si>
  <si>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</si>
  <si>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</si>
  <si>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</si>
  <si>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</si>
  <si>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</si>
  <si>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</si>
  <si>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</si>
  <si>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</si>
  <si>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</si>
  <si>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</si>
  <si>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</si>
  <si>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</si>
  <si>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</si>
  <si>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</si>
  <si>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</si>
  <si>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</si>
  <si>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</si>
  <si>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</si>
  <si>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</si>
  <si>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</si>
  <si>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</si>
  <si>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</si>
  <si>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</si>
  <si>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</si>
  <si>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</si>
  <si>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</si>
  <si>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</si>
  <si>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</si>
  <si>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</si>
  <si>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</si>
  <si>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</si>
  <si>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</si>
  <si>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</si>
  <si>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</si>
  <si>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</si>
  <si>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</si>
  <si>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</si>
  <si>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</si>
  <si>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</si>
  <si>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</si>
  <si>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</si>
  <si>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</si>
  <si>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</si>
  <si>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</si>
  <si>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</si>
  <si>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</si>
  <si>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</si>
  <si>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</si>
  <si>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</si>
  <si>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</si>
  <si>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</si>
  <si>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</si>
  <si>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</si>
  <si>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</si>
  <si>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</si>
  <si>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</si>
  <si>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</si>
  <si>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</si>
  <si>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</si>
  <si>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</si>
  <si>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</si>
  <si>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</si>
  <si>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</si>
  <si>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</si>
  <si>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</si>
  <si>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</si>
  <si>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</si>
  <si>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</si>
  <si>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</si>
  <si>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</si>
  <si>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</si>
  <si>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</si>
  <si>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</si>
  <si>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</si>
  <si>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</si>
  <si>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</si>
  <si>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</si>
  <si>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</si>
  <si>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</si>
  <si>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</si>
  <si>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</si>
  <si>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</si>
  <si>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</si>
  <si>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</si>
  <si>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</si>
  <si>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</si>
  <si>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</si>
  <si>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</si>
  <si>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</si>
  <si>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</si>
  <si>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</si>
  <si>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</si>
  <si>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</si>
  <si>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</si>
  <si>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</si>
  <si>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</si>
  <si>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</si>
  <si>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</si>
  <si>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</si>
  <si>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</si>
  <si>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</si>
  <si>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</si>
  <si>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</si>
  <si>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</si>
  <si>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</si>
  <si>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</si>
  <si>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</si>
  <si>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</si>
  <si>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</si>
  <si>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</si>
  <si>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</si>
  <si>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</si>
  <si>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</si>
  <si>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</si>
  <si>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</si>
  <si>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</si>
  <si>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</si>
  <si>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</si>
  <si>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</si>
  <si>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</si>
  <si>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</si>
  <si>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</si>
  <si>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</si>
  <si>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</si>
  <si>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</si>
  <si>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</si>
  <si>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</si>
  <si>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</si>
  <si>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</si>
  <si>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</si>
  <si>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</si>
  <si>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</si>
  <si>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</si>
  <si>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</si>
  <si>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</si>
  <si>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</si>
  <si>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</si>
  <si>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</si>
  <si>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</si>
  <si>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</si>
  <si>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</si>
  <si>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</si>
  <si>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</si>
  <si>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</si>
  <si>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</si>
  <si>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</si>
  <si>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</si>
  <si>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</si>
  <si>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</si>
  <si>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</si>
  <si>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</si>
  <si>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</si>
  <si>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</si>
  <si>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</si>
  <si>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</si>
  <si>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</si>
  <si>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</si>
  <si>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</si>
  <si>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</si>
  <si>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</si>
  <si>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</si>
  <si>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</si>
  <si>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</si>
  <si>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</si>
  <si>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</si>
  <si>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</si>
  <si>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</si>
  <si>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</si>
  <si>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</si>
  <si>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</si>
  <si>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</si>
  <si>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</si>
  <si>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</si>
  <si>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</si>
  <si>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</si>
  <si>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</si>
  <si>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</si>
  <si>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</si>
  <si>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</si>
  <si>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</si>
  <si>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</si>
  <si>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</si>
  <si>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</si>
  <si>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</si>
  <si>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</si>
  <si>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</si>
  <si>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</si>
  <si>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</si>
  <si>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</si>
  <si>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</si>
  <si>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</si>
  <si>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</si>
  <si>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</si>
  <si>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</si>
  <si>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</si>
  <si>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</si>
  <si>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</si>
  <si>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</si>
  <si>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</si>
  <si>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</si>
  <si>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</si>
  <si>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</si>
  <si>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</si>
  <si>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</si>
  <si>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</si>
  <si>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</si>
  <si>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</si>
  <si>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</si>
  <si>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</si>
  <si>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</si>
  <si>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</si>
  <si>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</si>
  <si>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</si>
  <si>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</si>
  <si>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</si>
  <si>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</si>
  <si>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</si>
  <si>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</si>
  <si>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</si>
  <si>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</si>
  <si>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</si>
  <si>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</si>
  <si>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</si>
  <si>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</si>
  <si>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</si>
  <si>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</si>
  <si>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</si>
  <si>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</si>
  <si>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</si>
  <si>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</si>
  <si>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</si>
  <si>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</si>
  <si>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</si>
  <si>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</si>
  <si>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</si>
  <si>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</si>
  <si>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</si>
  <si>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</si>
  <si>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</si>
  <si>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</si>
  <si>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</si>
  <si>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</si>
  <si>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</si>
  <si>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</si>
  <si>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</si>
  <si>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</si>
  <si>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</si>
  <si>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</si>
  <si>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</si>
  <si>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</si>
  <si>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</si>
  <si>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</si>
  <si>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</si>
  <si>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</si>
  <si>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</si>
  <si>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</si>
  <si>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</si>
  <si>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</si>
  <si>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</si>
  <si>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</si>
  <si>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</si>
  <si>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</si>
  <si>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</si>
  <si>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</si>
  <si>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</si>
  <si>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</si>
  <si>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</si>
  <si>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</si>
  <si>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</si>
  <si>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</si>
  <si>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</si>
  <si>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</si>
  <si>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</si>
  <si>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</si>
  <si>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</si>
  <si>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</si>
  <si>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</si>
  <si>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</si>
  <si>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</si>
  <si>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</si>
  <si>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</si>
  <si>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</si>
  <si>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</si>
  <si>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</si>
  <si>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</si>
  <si>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</si>
  <si>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</si>
  <si>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</si>
  <si>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</si>
  <si>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</si>
  <si>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</si>
  <si>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</si>
  <si>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</si>
  <si>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</si>
  <si>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</si>
  <si>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</si>
  <si>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</si>
  <si>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</si>
  <si>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</si>
  <si>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</si>
  <si>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</si>
  <si>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</si>
  <si>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</si>
  <si>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</si>
  <si>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</si>
  <si>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</si>
  <si>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</si>
  <si>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</si>
  <si>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</si>
  <si>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</si>
  <si>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</si>
  <si>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</si>
  <si>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</si>
  <si>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</si>
  <si>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</si>
  <si>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</si>
  <si>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</si>
  <si>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</si>
  <si>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</si>
  <si>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</si>
  <si>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</si>
  <si>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</si>
  <si>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</si>
  <si>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</si>
  <si>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</si>
  <si>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</si>
  <si>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</si>
  <si>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</si>
  <si>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</si>
  <si>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</si>
  <si>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</si>
  <si>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</si>
  <si>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</si>
  <si>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</si>
  <si>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</si>
  <si>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</si>
  <si>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</si>
  <si>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</si>
  <si>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</si>
  <si>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</si>
  <si>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</si>
  <si>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</si>
  <si>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</si>
  <si>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</si>
  <si>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</si>
  <si>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</si>
  <si>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</si>
  <si>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</si>
  <si>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</si>
  <si>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</si>
  <si>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</si>
  <si>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</si>
  <si>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RUPTC218+MEDTO218+INCTO218+EJEHI211+OTRNJ211+(-DIVOC218)+(-SEPAM218)+(-MECON218)+(-GUCON218)+NVL(CONCU219,0)*2+NVL(ICTOT219,0)*2+INTEV215*0.2+AUTMC215*0.2+AUTMP215+NVL(PCTOT219,0)*2+NVL(DILTO219,0)*2+NVL(MEDCA219,0)*2+NVL(EXPAR219,0)*2+PROMO218+PROES218+SOLRE215</t>
  </si>
  <si>
    <t>TCONT211+TCON2211+INCID211+MECAU211+MOVCO211+TVOLU215+INTEV215*0.16+TDERE218*0.8+MEDTO218*0.8+INCTO218*0.8+NVL(CONCU219,0)*2.2+NVL(ICTOT219,0)*2.2+NVL(EXPAR219,0)*2.2+NVL(PCTOT219,0)*2.2+NVL(DILTO219,0)*2.2+NVL(MEDCA219,0)*2.2+NVL(ASTOT219,0)*2.2+NVL(JURIS219,0)+NVL(MONIT219,0)+NVL(TPROC224,0)*0.36+PROMO218+PROES218+AUTME215+SOLRE215</t>
  </si>
  <si>
    <t>TCONT211+TCON2211+TVOLU215+INCID211+MECAU211+MOVCO211+INTEV215+TDERE218+TDERE318+MEDTO218+NVL(CONCU219,0)+NVL(ICTOT219,0)+NVL(EXPAR219,0)+NVL(PCTOT219,0)+NVL(DILTO219,0)+NVL(MEDCA219,0)+NVL(ASTOT219,0)+ NVL(JURIS119,0)+NVL(MONIT219,0)+NVL(TPROC224,0)+PROMO218+PROES218+SOLRE215+INCTO218+AUTME215</t>
  </si>
  <si>
    <t>TCONT211+TCON2211+MOVCO211+INCID211+MECAU211+TDERE218+TDERE318+INTEV215+PROMO218+PROES218+MEDTO218+INCTO218+SOLRE215+AUTME215</t>
  </si>
  <si>
    <t>TDERE218+MEDTO218+INCTO218+PROMO218+PROES218+SOLRE215+INTEV215*0.2+AUTMC215*0.2+AUTMP215+TCON2211+INCID211+MECAU211</t>
  </si>
  <si>
    <t>TDERE218+TVOLU215+INCID211+MECAU211+MOVCO211+INTEV215*0.2+MEDTO218+INCTO218+NVL(CONCU219,0)*2.2+NVL(ICTOT219,0)*2.2+NVL(EXPAR219,0)*2.2+NVL(PCTOT219,0)*2.2+NVL(DILTO219,0)*2.2+NVL(MEDCA219,0)*2.2+NVL(ASTOT219,0)*2.2+TCONT211*1.25+TCON2211*1.25+PROMO218+PROES218+AUTME215+SOLRE215</t>
  </si>
  <si>
    <t>TDERE218+TDERE318+TVOLU215+INTEV215+INCID211+MECAU211+MOVCO211+MEDTO218+INCTO218+NVL(CONCU219,0)+NVL(ICTOT219,0)+NVL(EXPAR219,0)+NVL(PCTOT219,0)+NVL(DILTO219,0)+NVL(MEDCA219,0)+NVL(ASTOT219,0)+TCONT211+TCON2211+PROMO218+PROES218+SOLRE215+AUTME215</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</si>
  <si>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</si>
  <si>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</si>
  <si>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</si>
  <si>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</si>
  <si>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</si>
  <si>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</si>
  <si>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</si>
  <si>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</si>
  <si>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</si>
  <si>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</si>
  <si>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</si>
  <si>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t>
  </si>
  <si>
    <t>TCONT211+TCON2211+INCID211+MECAU211+MOVCO211+TVOLU215+INTEV215+TDERE218+MEDTO218+INCTO218+NVL(CONCU219,0)*2.2+NVL(ICTOT219,0)*2.2+NVL(EXPAR219,0)*2.2+NVL(PCTOT219,0)*2.2+NVL(DILTO219,0)*2.2+NVL(MEDCA219,0)*2.2+NVL(ASTOT219,0)*2.2+NVL(JURIS219,0)+NVL(MONIT219,0)+PROMO218+PROES218+AUTME215+SOLRE215</t>
  </si>
  <si>
    <t>TCONT211+TCON2211+INCID211+MECAU211+TVOLU215+MOVCO211+INTEV215+TDERE218+TDERE318+MEDTO218+NVL(CONCU219,0)+NVL(ICTOT219,0)+NVL(EXPAR219,0)+NVL(PCTOT219,0)+NVL(DILTO219,0)+NVL(MEDCA219,0)+NVL(ASTOT219,0)+ NVL(JURIS119,0)+NVL(MONIT219,0)+PROMO218+PROES218+SOLRE215+INCTO218</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</si>
  <si>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</si>
  <si>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</si>
  <si>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</si>
  <si>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</si>
  <si>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</si>
  <si>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</si>
  <si>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</si>
  <si>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</si>
  <si>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</si>
  <si>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</si>
  <si>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</si>
  <si>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</si>
  <si>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</si>
  <si>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</si>
  <si>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</si>
  <si>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</si>
  <si>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</si>
  <si>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</si>
  <si>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</si>
  <si>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</si>
  <si>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</si>
  <si>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</si>
  <si>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</si>
  <si>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</si>
  <si>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</si>
  <si>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</si>
  <si>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</si>
  <si>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</si>
  <si>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</si>
  <si>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</si>
  <si>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</si>
  <si>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</si>
  <si>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</si>
  <si>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</si>
  <si>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</si>
  <si>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</si>
  <si>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</si>
  <si>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</si>
  <si>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</si>
  <si>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</si>
  <si>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</si>
  <si>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</si>
  <si>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+NVL(ICTOT219,0)+NVL(PCTOT219,0)+NVL(DILTO219,0)+NVL(MEDCA219,0)+NVL(EXPAR219,0)+NVL(MONIT219,0)+NVL(JURIS219,0))*1.5+NVL(EJTOT219,0)+(NVL(TPROC224,0)+NVL(PIESE224,0)+NVL(ASUEX224,0))*0.36</t>
  </si>
  <si>
    <t>TCON2211+MOVCO211*1.5+INCID211+MECAU211+TVOLU215+(TDERE218+MEDTO218+INCTO218)+INTEV215+AUTME215+PROMO218+PROES218+REPIN318+SOLRE215+TCIVI215+(NVL(CONCU219,0)+NVL(ICTOT219,0)+NVL(PCTOT219,0)+NVL(DILTO219,0)+NVL(MEDCA219,0)+NVL(EXPAR219,0)+NVL(SOLEX219,0)+NVL(MONIT219,0)+NVL(JURIS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</si>
  <si>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1.5+NVL(EJTOT219,0)+NVL(PCTOT247,0)</t>
  </si>
  <si>
    <t>TDERE218+MEDTO218+INCTO218+TVOLU215*0.6+INTEV215*0.32+AUTME215+(PROMO218-PROCO218-PRONO218+PROES218+PROCO218)*1.6+PRONO218*0.6+REPIN318+SOLRE215+TCIVI215+TCON2211*1.25+MOVCO211*1.875+INCID211*1.25+MECAU211*1.25+(NVL(CONCU219,0)+NVL(ICTOT219,0)+NVL(PCTOT219,0)+NVL(DILTO219,0)+NVL(MEDCA219,0)+NVL(EXPAR219,0)+NVL(MONIT219,0)+NVL(JURIS219,0))*1.875+NVL(EJTOT219,0)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</si>
  <si>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</si>
  <si>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</si>
  <si>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</si>
  <si>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</si>
  <si>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</si>
  <si>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</si>
  <si>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</si>
  <si>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</si>
  <si>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</si>
  <si>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</si>
  <si>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</si>
  <si>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</si>
  <si>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6*(NULID518)+0.5*(DIVOC518+SEPAM518)+3.25*(DIVON518+SEPAC518)+0.5*(GUCON518)+3.25*(GUNOC518)+0.5*(MECON518)+3.25*(MENOC518)+4.5*(JUORD518)+4.25*(LIREG518)+2.5*(JUVER518+PROMO318-PROCO518-PRONO518+PROCO518*2.5+REPIN418+PROES318)+1.5*(INCTO318)+OTRAP518+OTROC311+EFICA518+2.5*(SUSTR518)+0.5*(RUPTC518)+3.25*(RUPTN518)+AUTMP315+SOLRE315+2.5*OPRES518</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</si>
  <si>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</si>
  <si>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</si>
  <si>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</si>
  <si>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</si>
  <si>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</si>
  <si>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</si>
  <si>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</si>
  <si>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</si>
  <si>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</si>
  <si>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</si>
  <si>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</si>
  <si>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</si>
  <si>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</si>
  <si>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</si>
  <si>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</si>
  <si>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</si>
  <si>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</si>
  <si>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</si>
  <si>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</si>
  <si>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</si>
  <si>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</si>
  <si>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</si>
  <si>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AUTOST13+NVL(AUACTT92,0)+NVL(AUACMT92,0)+NVL(AURESO92,0)+NVL(AUSINM92,0)+NVL(AUCOFA92,0)+NVL(AUNOAC92,0)+NVL(AUDECU92,0)+NVL(AUAPPI92,0)+NVL(AUREAU92,0)+NVL(AUAPPL92,0)+NVL(AUCONC92,0)+NVL(AUAVTT92,0)+NVL(AUASTT92,0)+NVL(AUJVOL92,0)+NVL(AUDPRE92,0)+NVL(AUCAUT92,0)+NVL(AUEJEC92,0)+NVL(AUINNO92,0)+NVL(AUOTCO92,0)+NVL(AUMDMT92,0)+NVL(AULOPJ92,0)+NVL(AUREL192,0)+NVL(AUREL292,0)+NVL(AUREL392,0)+NVL(AUREL492,0)+NVL(AUREL592,0)</t>
  </si>
  <si>
    <t>155</t>
  </si>
  <si>
    <t xml:space="preserve">Pendientes remitir por Fiscalía </t>
  </si>
  <si>
    <t>PENREM51</t>
  </si>
  <si>
    <t>Fecha Informe: 14 abr. 2023</t>
  </si>
  <si>
    <t>Tribunales de Justicia</t>
  </si>
  <si>
    <t>CATALUÑA</t>
  </si>
  <si>
    <t>Provincias</t>
  </si>
  <si>
    <t>LLEIDA</t>
  </si>
  <si>
    <t>Resumenes por Partidos Judiciales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</si>
</sst>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0" fontId="17" fillId="0" borderId="0" xfId="0" applyFont="1" applyAlignment="1"/>
    <xf numFmtId="0" fontId="17" fillId="0" borderId="0" xfId="0" applyFont="1" applyBorder="1" applyAlignment="1">
      <alignment horizontal="left"/>
    </xf>
    <xf numFmtId="0" fontId="17" fillId="0" borderId="62" xfId="0" applyFont="1" applyBorder="1" applyAlignment="1"/>
    <xf numFmtId="0" fontId="17" fillId="0" borderId="0" xfId="0" applyFont="1" applyAlignment="1">
      <alignment horizontal="left"/>
    </xf>
    <xf numFmtId="0" fontId="17" fillId="0" borderId="62" xfId="0" applyFont="1" applyBorder="1" applyAlignment="1">
      <alignment horizontal="left"/>
    </xf>
    <xf numFmtId="0" fontId="16" fillId="10" borderId="74" xfId="0" applyFont="1" applyFill="1" applyBorder="1" applyAlignment="1">
      <alignment horizontal="center"/>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16" fillId="0" borderId="12" xfId="0" applyFont="1"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36" fillId="2" borderId="68" xfId="0" applyFont="1" applyFill="1" applyBorder="1" applyAlignment="1" applyProtection="1">
      <alignment horizontal="center" vertical="center" textRotation="180" wrapText="1"/>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286</v>
      </c>
    </row>
    <row r="3" spans="1:19" ht="23.25" thickBot="1">
      <c r="A3" s="1569" t="s">
        <v>143</v>
      </c>
      <c r="B3" s="1570"/>
      <c r="C3" s="1570"/>
      <c r="D3" s="1571"/>
      <c r="E3" s="412"/>
      <c r="F3" s="2"/>
      <c r="Q3" s="391">
        <v>1</v>
      </c>
      <c r="R3" s="391">
        <v>3</v>
      </c>
      <c r="S3" t="b">
        <f>AND(Q3&gt;=TrimIni,Q3&lt;=TrimFin)</f>
        <v>1</v>
      </c>
    </row>
    <row r="4" spans="1:19" ht="22.5" customHeight="1" thickBot="1">
      <c r="A4" s="413" t="s">
        <v>1177</v>
      </c>
      <c r="B4" s="412"/>
      <c r="C4" s="412"/>
      <c r="D4" s="412"/>
      <c r="E4" s="412"/>
      <c r="F4" s="2"/>
      <c r="Q4" s="391">
        <v>2</v>
      </c>
      <c r="R4" s="391">
        <v>3</v>
      </c>
      <c r="S4" t="b">
        <f>AND(Q4&gt;=TrimIni,Q4&lt;=TrimFin)</f>
        <v>1</v>
      </c>
    </row>
    <row r="5" spans="1:19" ht="15.75" thickBot="1">
      <c r="A5" s="414" t="s">
        <v>55</v>
      </c>
      <c r="B5" s="415">
        <v>2022</v>
      </c>
      <c r="C5" s="416" t="s">
        <v>273</v>
      </c>
      <c r="D5" s="417">
        <v>1</v>
      </c>
      <c r="E5" s="418"/>
      <c r="F5" s="3"/>
      <c r="H5" t="s">
        <v>542</v>
      </c>
      <c r="Q5" s="391">
        <v>3</v>
      </c>
      <c r="R5" s="391">
        <v>2</v>
      </c>
      <c r="S5" t="b">
        <f>AND(Q5&gt;=TrimIni,Q5&lt;=TrimFin)</f>
        <v>1</v>
      </c>
    </row>
    <row r="6" spans="1:19" ht="15">
      <c r="A6" s="419"/>
      <c r="B6" s="418"/>
      <c r="C6" s="416" t="s">
        <v>274</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1</v>
      </c>
    </row>
    <row r="9" spans="1:19">
      <c r="A9" s="426" t="s">
        <v>1178</v>
      </c>
      <c r="B9" s="421" t="s">
        <v>1179</v>
      </c>
      <c r="C9" s="418"/>
      <c r="D9" s="418"/>
      <c r="E9" s="427"/>
      <c r="F9" s="3"/>
    </row>
    <row r="10" spans="1:19">
      <c r="A10" s="426" t="s">
        <v>1180</v>
      </c>
      <c r="B10" s="418" t="s">
        <v>1181</v>
      </c>
      <c r="C10" s="418"/>
      <c r="D10" s="418"/>
      <c r="E10" s="427"/>
      <c r="F10" s="3"/>
      <c r="Q10" s="391">
        <v>0</v>
      </c>
    </row>
    <row r="11" spans="1:19" ht="13.5" thickBot="1">
      <c r="A11" s="428" t="s">
        <v>1182</v>
      </c>
      <c r="B11" s="429" t="s">
        <v>1181</v>
      </c>
      <c r="C11" s="429"/>
      <c r="D11" s="429"/>
      <c r="E11" s="430"/>
      <c r="F11" s="3"/>
    </row>
    <row r="12" spans="1:19" ht="40.5" customHeight="1" thickBot="1">
      <c r="A12" s="420"/>
      <c r="B12" s="418"/>
      <c r="C12" s="418"/>
      <c r="D12" s="418"/>
      <c r="E12" s="418"/>
      <c r="F12" s="3"/>
      <c r="Q12" s="1471"/>
    </row>
    <row r="13" spans="1:19" ht="15">
      <c r="A13" s="431" t="s">
        <v>168</v>
      </c>
      <c r="B13" s="432" t="s">
        <v>87</v>
      </c>
      <c r="C13" s="1079" t="s">
        <v>936</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0tVqGeGfqyh6B9VLGZgbuaBnr2/eMIvtBaCXOf1Wj6bZ16ZPL+wOSExcjku2Wsm+8e5QvNRKegpuKALvm6gOAw==" saltValue="+NomGASzK3RUtmXbcELaI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465</v>
      </c>
      <c r="E3" s="580"/>
    </row>
    <row r="4" spans="1:31" s="533" customFormat="1" ht="15.75" thickBot="1">
      <c r="A4" s="1449" t="s">
        <v>470</v>
      </c>
      <c r="B4" s="1460" t="str">
        <f>Criterios!B9</f>
        <v>CATALUÑA</v>
      </c>
      <c r="C4" s="1450"/>
      <c r="D4" s="1450"/>
      <c r="E4" s="1451"/>
      <c r="F4" s="1450"/>
      <c r="G4" s="664"/>
      <c r="H4" s="1722" t="s">
        <v>471</v>
      </c>
      <c r="I4" s="1723"/>
      <c r="J4" s="1723"/>
      <c r="K4" s="1723"/>
      <c r="L4" s="1723"/>
      <c r="M4" s="1452"/>
      <c r="N4" s="1722" t="s">
        <v>472</v>
      </c>
      <c r="O4" s="1723"/>
      <c r="P4" s="1723"/>
      <c r="Q4" s="1723"/>
      <c r="R4" s="1723"/>
      <c r="S4" s="1723"/>
      <c r="T4" s="1723"/>
      <c r="U4" s="1723"/>
      <c r="V4" s="1723"/>
      <c r="W4" s="1723"/>
      <c r="X4" s="1723"/>
      <c r="Y4" s="1723"/>
      <c r="Z4" s="1723"/>
      <c r="AA4" s="1723"/>
      <c r="AB4" s="1723"/>
      <c r="AC4" s="1723"/>
      <c r="AD4" s="1724"/>
    </row>
    <row r="5" spans="1:31" s="533" customFormat="1" ht="15.75" customHeight="1">
      <c r="A5" s="1736" t="s">
        <v>461</v>
      </c>
      <c r="B5" s="1738" t="str">
        <f>"Año:  " &amp;Criterios!B5 &amp; "      Trimestre   " &amp;Criterios!D5 &amp; " al " &amp;Criterios!D6</f>
        <v>Año:  2022      Trimestre   1 al 4</v>
      </c>
      <c r="C5" s="1742" t="s">
        <v>334</v>
      </c>
      <c r="D5" s="1744" t="s">
        <v>173</v>
      </c>
      <c r="E5" s="1744" t="s">
        <v>126</v>
      </c>
      <c r="F5" s="1746" t="s">
        <v>14</v>
      </c>
      <c r="G5" s="1728"/>
      <c r="H5" s="1725" t="s">
        <v>466</v>
      </c>
      <c r="I5" s="1748" t="s">
        <v>468</v>
      </c>
      <c r="J5" s="1725" t="s">
        <v>467</v>
      </c>
      <c r="K5" s="1727" t="s">
        <v>384</v>
      </c>
      <c r="L5" s="1727" t="s">
        <v>469</v>
      </c>
      <c r="M5" s="1727" t="s">
        <v>463</v>
      </c>
      <c r="N5" s="1712"/>
      <c r="O5" s="1713"/>
      <c r="P5" s="578"/>
      <c r="Q5" s="1716" t="s">
        <v>594</v>
      </c>
      <c r="R5" s="1717"/>
      <c r="S5" s="1718"/>
      <c r="T5" s="1730"/>
      <c r="U5" s="1731"/>
      <c r="V5" s="1732"/>
      <c r="W5" s="1716" t="s">
        <v>345</v>
      </c>
      <c r="X5" s="1717"/>
      <c r="Y5" s="1717"/>
      <c r="Z5" s="1718"/>
      <c r="AA5" s="1716" t="s">
        <v>589</v>
      </c>
      <c r="AB5" s="1717"/>
      <c r="AC5" s="1717"/>
      <c r="AD5" s="1718"/>
    </row>
    <row r="6" spans="1:31" s="533" customFormat="1" ht="21.75" customHeight="1" thickBot="1">
      <c r="A6" s="1737"/>
      <c r="B6" s="1739"/>
      <c r="C6" s="1743"/>
      <c r="D6" s="1745"/>
      <c r="E6" s="1745"/>
      <c r="F6" s="1747"/>
      <c r="G6" s="1728"/>
      <c r="H6" s="1726"/>
      <c r="I6" s="1749"/>
      <c r="J6" s="1726"/>
      <c r="K6" s="1728"/>
      <c r="L6" s="1728"/>
      <c r="M6" s="1728"/>
      <c r="N6" s="1714"/>
      <c r="O6" s="1715"/>
      <c r="P6" s="1453"/>
      <c r="Q6" s="1719"/>
      <c r="R6" s="1720"/>
      <c r="S6" s="1721"/>
      <c r="T6" s="1733"/>
      <c r="U6" s="1734"/>
      <c r="V6" s="1735"/>
      <c r="W6" s="1719"/>
      <c r="X6" s="1720"/>
      <c r="Y6" s="1720"/>
      <c r="Z6" s="1721"/>
      <c r="AA6" s="1719"/>
      <c r="AB6" s="1720"/>
      <c r="AC6" s="1720"/>
      <c r="AD6" s="1721"/>
    </row>
    <row r="7" spans="1:31" s="533" customFormat="1" ht="84" customHeight="1">
      <c r="A7" s="1737"/>
      <c r="B7" s="1454" t="str">
        <f>Datos!A7</f>
        <v>COMPETENCIAS</v>
      </c>
      <c r="C7" s="1743"/>
      <c r="D7" s="1745"/>
      <c r="E7" s="1745"/>
      <c r="F7" s="1747"/>
      <c r="G7" s="1728"/>
      <c r="H7" s="1726"/>
      <c r="I7" s="1749"/>
      <c r="J7" s="1726"/>
      <c r="K7" s="1728"/>
      <c r="L7" s="1728"/>
      <c r="M7" s="1729"/>
      <c r="N7" s="1455" t="s">
        <v>287</v>
      </c>
      <c r="O7" s="1455" t="s">
        <v>504</v>
      </c>
      <c r="P7" s="1456" t="s">
        <v>505</v>
      </c>
      <c r="Q7" s="1457" t="s">
        <v>506</v>
      </c>
      <c r="R7" s="1456" t="s">
        <v>497</v>
      </c>
      <c r="S7" s="1457" t="s">
        <v>1104</v>
      </c>
      <c r="T7" s="1523" t="s">
        <v>1105</v>
      </c>
      <c r="U7" s="1523" t="s">
        <v>1106</v>
      </c>
      <c r="V7" s="1523" t="s">
        <v>1107</v>
      </c>
      <c r="W7" s="1455" t="s">
        <v>590</v>
      </c>
      <c r="X7" s="1549" t="s">
        <v>1129</v>
      </c>
      <c r="Y7" s="1549" t="s">
        <v>1130</v>
      </c>
      <c r="Z7" s="1550" t="s">
        <v>1131</v>
      </c>
      <c r="AA7" s="1458" t="s">
        <v>590</v>
      </c>
      <c r="AB7" s="1547" t="s">
        <v>591</v>
      </c>
      <c r="AC7" s="1547" t="s">
        <v>1132</v>
      </c>
      <c r="AD7" s="1548" t="s">
        <v>1133</v>
      </c>
      <c r="AE7" s="1459" t="s">
        <v>1102</v>
      </c>
    </row>
    <row r="8" spans="1:31" ht="15">
      <c r="A8" s="1740" t="str">
        <f>Datos!A8</f>
        <v>Jurisdicción Civil ( 1 ):</v>
      </c>
      <c r="B8" s="174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7</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f>IF(ISNUMBER(NºAsuntos!I9/NºAsuntos!G9),(NºAsuntos!I9/NºAsuntos!G9)*11," - ")</f>
        <v>5.930055240021785</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128</v>
      </c>
      <c r="D10" s="239">
        <f>IF(ISNUMBER(Datos!I10),Datos!I10," - ")</f>
        <v>128</v>
      </c>
      <c r="E10" s="240">
        <f>IF(ISNUMBER(Datos!J10),Datos!J10," - ")</f>
        <v>228</v>
      </c>
      <c r="F10" s="240">
        <f>IF(ISNUMBER(Datos!K10),Datos!K10," - ")</f>
        <v>197</v>
      </c>
      <c r="G10" s="1390" t="str">
        <f>IF(Datos!E10&lt;&gt;"",Datos!E10,Datos!D10)</f>
        <v>37</v>
      </c>
      <c r="H10" s="241">
        <f>IF(ISNUMBER(Datos!L10),Datos!L10," - ")</f>
        <v>159</v>
      </c>
      <c r="I10" s="1400" t="str">
        <f>IF(ISNUMBER(Datos!AS10/Datos!BM10),Datos!AS10/Datos!BM10," - ")</f>
        <v xml:space="preserve"> - </v>
      </c>
      <c r="J10" s="1401">
        <f>IF(ISNUMBER(Datos!BY10/Datos!CN10),Datos!BY10/Datos!CN10," - ")</f>
        <v>0</v>
      </c>
      <c r="K10" s="244">
        <f t="shared" ref="K10:K13" si="1">IF(ISNUMBER((E10-F10)/C10),(E10-F10)/C10," - ")</f>
        <v>0.2421875</v>
      </c>
      <c r="L10" s="1402">
        <f>IF(ISNUMBER(NºAsuntos!I10/NºAsuntos!G10),(NºAsuntos!I10/NºAsuntos!G10)*11," - ")</f>
        <v>8.8781725888324878</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2</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f>IF(ISNUMBER(NºAsuntos!I11/NºAsuntos!G11),(NºAsuntos!I11/NºAsuntos!G11)*11," - ")</f>
        <v>4.019317714755446</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0</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t="str">
        <f>IF(ISNUMBER(NºAsuntos!I12/NºAsuntos!G12),(NºAsuntos!I12/NºAsuntos!G12)*11," - ")</f>
        <v xml:space="preserve"> - </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128</v>
      </c>
      <c r="D14" s="1407">
        <f>SUBTOTAL(9,D9:D13)</f>
        <v>128</v>
      </c>
      <c r="E14" s="1408">
        <f>SUBTOTAL(9,E9:E13)</f>
        <v>228</v>
      </c>
      <c r="F14" s="1409">
        <f>SUBTOTAL(9,F9:F13)</f>
        <v>197</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40" t="str">
        <f>Datos!A15</f>
        <v xml:space="preserve">Jurisdicción Penal ( 2 ):                      </v>
      </c>
      <c r="B15" s="174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4</v>
      </c>
      <c r="B16" s="1461" t="str">
        <f>Datos!A16</f>
        <v xml:space="preserve">Jdos. Instrucción                               </v>
      </c>
      <c r="C16" s="239">
        <f t="shared" ref="C16:C22" si="2">IF(ISNUMBER(H16-E16+F16),H16-E16+F16," - ")</f>
        <v>4752</v>
      </c>
      <c r="D16" s="239">
        <f>IF(ISNUMBER(IF(D_I="SI",Datos!I16,Datos!I16+Datos!AC16)),IF(D_I="SI",Datos!I16,Datos!I16+Datos!AC16)," - ")</f>
        <v>4590</v>
      </c>
      <c r="E16" s="240">
        <f>IF(ISNUMBER(IF(D_I="SI",Datos!J16,Datos!J16+Datos!AD16)),IF(D_I="SI",Datos!J16,Datos!J16+Datos!AD16)," - ")</f>
        <v>16366</v>
      </c>
      <c r="F16" s="240">
        <f>IF(ISNUMBER(IF(D_I="SI",Datos!K16,Datos!K16+Datos!AE16)),IF(D_I="SI",Datos!K16,Datos!K16+Datos!AE16)," - ")</f>
        <v>15842</v>
      </c>
      <c r="G16" s="1390" t="str">
        <f>IF(Datos!E16&lt;&gt;"",Datos!E16,Datos!D16)</f>
        <v>03</v>
      </c>
      <c r="H16" s="241">
        <f>IF(ISNUMBER(IF(D_I="SI",Datos!L16,Datos!L16+Datos!AF16)),IF(D_I="SI",Datos!L16,Datos!L16+Datos!AF16)," - ")</f>
        <v>5276</v>
      </c>
      <c r="I16" s="1400" t="str">
        <f>IF(ISNUMBER(Datos!AS16/Datos!BM16),Datos!AS16/Datos!BM16," - ")</f>
        <v xml:space="preserve"> - </v>
      </c>
      <c r="J16" s="1401">
        <f>IF(ISNUMBER(Datos!BY16/Datos!CN16),Datos!BY16/Datos!CN16," - ")</f>
        <v>0</v>
      </c>
      <c r="K16" s="244">
        <f t="shared" ref="K16:K22" si="3">IF(ISNUMBER((E16-F16)/C16),(E16-F16)/C16," - ")</f>
        <v>0.11026936026936027</v>
      </c>
      <c r="L16" s="1402">
        <f>IF(ISNUMBER(NºAsuntos!I16/NºAsuntos!G16),(NºAsuntos!I16/NºAsuntos!G16)*11," - ")</f>
        <v>3.6634263350587046</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0</v>
      </c>
      <c r="B17" s="1461" t="str">
        <f>Datos!A17</f>
        <v xml:space="preserve">Jdos. 1ª Instª. e Instr.                        </v>
      </c>
      <c r="C17" s="239" t="str">
        <f t="shared" si="2"/>
        <v xml:space="preserve"> - </v>
      </c>
      <c r="D17" s="239" t="str">
        <f>IF(ISNUMBER(IF(D_I="SI",Datos!I17,Datos!I17+Datos!AC17)),IF(D_I="SI",Datos!I17,Datos!I17+Datos!AC17)," - ")</f>
        <v xml:space="preserve"> - </v>
      </c>
      <c r="E17" s="240" t="str">
        <f>IF(ISNUMBER(IF(D_I="SI",Datos!J17,Datos!J17+Datos!AD17)),IF(D_I="SI",Datos!J17,Datos!J17+Datos!AD17)," - ")</f>
        <v xml:space="preserve"> - </v>
      </c>
      <c r="F17" s="240" t="str">
        <f>IF(ISNUMBER(IF(D_I="SI",Datos!K17,Datos!K17+Datos!AE17)),IF(D_I="SI",Datos!K17,Datos!K17+Datos!AE17)," - ")</f>
        <v xml:space="preserve"> - </v>
      </c>
      <c r="G17" s="1390" t="str">
        <f>IF(Datos!E17&lt;&gt;"",Datos!E17,Datos!D17)</f>
        <v>04</v>
      </c>
      <c r="H17" s="241" t="str">
        <f>IF(ISNUMBER(IF(D_I="SI",Datos!L17,Datos!L17+Datos!AF17)),IF(D_I="SI",Datos!L17,Datos!L17+Datos!AF17)," - ")</f>
        <v xml:space="preserve"> - </v>
      </c>
      <c r="I17" s="1400" t="str">
        <f>IF(ISNUMBER(Datos!AS17/Datos!BM17),Datos!AS17/Datos!BM17," - ")</f>
        <v xml:space="preserve"> - </v>
      </c>
      <c r="J17" s="1401">
        <f>IF(ISNUMBER(Datos!BY17/Datos!CN17),Datos!BY17/Datos!CN17," - ")</f>
        <v>0</v>
      </c>
      <c r="K17" s="244" t="str">
        <f t="shared" si="3"/>
        <v xml:space="preserve"> - </v>
      </c>
      <c r="L17" s="1402" t="str">
        <f>IF(ISNUMBER(NºAsuntos!I17/NºAsuntos!G17),(NºAsuntos!I17/NºAsuntos!G17)*11," - ")</f>
        <v xml:space="preserve"> - </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166</v>
      </c>
      <c r="D18" s="239">
        <f>IF(ISNUMBER(IF(D_I="SI",Datos!I18,Datos!I18+Datos!AC18)),IF(D_I="SI",Datos!I18,Datos!I18+Datos!AC18)," - ")</f>
        <v>166</v>
      </c>
      <c r="E18" s="240">
        <f>IF(ISNUMBER(IF(D_I="SI",Datos!J18,Datos!J18+Datos!AD18)),IF(D_I="SI",Datos!J18,Datos!J18+Datos!AD18)," - ")</f>
        <v>1606</v>
      </c>
      <c r="F18" s="240">
        <f>IF(ISNUMBER(IF(D_I="SI",Datos!K18,Datos!K18+Datos!AE18)),IF(D_I="SI",Datos!K18,Datos!K18+Datos!AE18)," - ")</f>
        <v>1547</v>
      </c>
      <c r="G18" s="1390" t="str">
        <f>IF(Datos!E18&lt;&gt;"",Datos!E18,Datos!D18)</f>
        <v>37</v>
      </c>
      <c r="H18" s="241">
        <f>IF(ISNUMBER(IF(D_I="SI",Datos!L18,Datos!L18+Datos!AF18)),IF(D_I="SI",Datos!L18,Datos!L18+Datos!AF18)," - ")</f>
        <v>225</v>
      </c>
      <c r="I18" s="1400" t="str">
        <f>IF(ISNUMBER(Datos!AS18/Datos!BM18),Datos!AS18/Datos!BM18," - ")</f>
        <v xml:space="preserve"> - </v>
      </c>
      <c r="J18" s="1401" t="str">
        <f>IF(ISNUMBER((Datos!BY18+Datos!BZ18)/Datos!CN18),(Datos!BY18+Datos!BZ18)/Datos!CN18," - ")</f>
        <v xml:space="preserve"> - </v>
      </c>
      <c r="K18" s="244">
        <f t="shared" si="3"/>
        <v>0.35542168674698793</v>
      </c>
      <c r="L18" s="1402">
        <f>IF(ISNUMBER(NºAsuntos!I18/NºAsuntos!G18),(NºAsuntos!I18/NºAsuntos!G18)*11," - ")</f>
        <v>1.5998707175177764</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4918</v>
      </c>
      <c r="D23" s="1407">
        <f>SUBTOTAL(9,D16:D22)</f>
        <v>4756</v>
      </c>
      <c r="E23" s="1408">
        <f>SUBTOTAL(9,E16:E22)</f>
        <v>17972</v>
      </c>
      <c r="F23" s="1408">
        <f>SUBTOTAL(9,F16:F22)</f>
        <v>17389</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40" t="str">
        <f>Datos!A24</f>
        <v xml:space="preserve">Jurisdicción Cont.-Admva.:                      </v>
      </c>
      <c r="B24" s="174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40" t="str">
        <f>Datos!A27</f>
        <v xml:space="preserve">Jurisdicción Social:                            </v>
      </c>
      <c r="B27" s="174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5046</v>
      </c>
      <c r="D31" s="1435">
        <f>SUBTOTAL(9,D9:D30)</f>
        <v>4884</v>
      </c>
      <c r="E31" s="1436">
        <f>SUBTOTAL(9,E9:E30)</f>
        <v>18200</v>
      </c>
      <c r="F31" s="1436">
        <f>SUBTOTAL(9,F9:F30)</f>
        <v>17586</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14 abr.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11" t="s">
        <v>837</v>
      </c>
      <c r="O37" s="1711"/>
      <c r="P37" s="1711"/>
      <c r="Q37" s="1711"/>
      <c r="R37" s="1711"/>
      <c r="S37" s="1711"/>
      <c r="T37" s="1711"/>
      <c r="U37" s="1711"/>
      <c r="V37" s="1711"/>
      <c r="W37" s="1711"/>
      <c r="Y37" s="1711" t="s">
        <v>838</v>
      </c>
      <c r="Z37" s="1711"/>
      <c r="AA37" s="1711"/>
      <c r="AB37" s="1711"/>
      <c r="AC37" s="1711"/>
    </row>
    <row r="39" spans="2:29">
      <c r="N39" s="1386" t="s">
        <v>839</v>
      </c>
      <c r="O39" s="1706" t="s">
        <v>840</v>
      </c>
      <c r="P39" s="1706"/>
      <c r="Q39" s="1706"/>
      <c r="R39" s="1706"/>
      <c r="S39" s="1706"/>
      <c r="T39" s="1706"/>
      <c r="U39" s="1706"/>
      <c r="V39" s="1706"/>
      <c r="W39" s="1706"/>
      <c r="Y39" s="1386" t="s">
        <v>839</v>
      </c>
      <c r="Z39" s="1709" t="s">
        <v>841</v>
      </c>
      <c r="AA39" s="1709"/>
      <c r="AB39" s="1709"/>
      <c r="AC39" s="1709"/>
    </row>
    <row r="40" spans="2:29">
      <c r="N40" s="1386" t="s">
        <v>842</v>
      </c>
      <c r="O40" s="1706" t="s">
        <v>843</v>
      </c>
      <c r="P40" s="1706"/>
      <c r="Q40" s="1706"/>
      <c r="R40" s="1706"/>
      <c r="S40" s="1706"/>
      <c r="T40" s="1706"/>
      <c r="U40" s="1706"/>
      <c r="V40" s="1706"/>
      <c r="W40" s="1706"/>
      <c r="Y40" s="1386" t="s">
        <v>842</v>
      </c>
      <c r="Z40" s="1709" t="s">
        <v>844</v>
      </c>
      <c r="AA40" s="1709"/>
      <c r="AB40" s="1709"/>
      <c r="AC40" s="1709"/>
    </row>
    <row r="41" spans="2:29">
      <c r="N41" s="1386" t="s">
        <v>845</v>
      </c>
      <c r="O41" s="1706" t="s">
        <v>846</v>
      </c>
      <c r="P41" s="1706"/>
      <c r="Q41" s="1706"/>
      <c r="R41" s="1706"/>
      <c r="S41" s="1706"/>
      <c r="T41" s="1706"/>
      <c r="U41" s="1706"/>
      <c r="V41" s="1706"/>
      <c r="W41" s="1706"/>
      <c r="Y41" s="1386" t="s">
        <v>847</v>
      </c>
      <c r="Z41" s="1709" t="s">
        <v>848</v>
      </c>
      <c r="AA41" s="1709"/>
      <c r="AB41" s="1709"/>
      <c r="AC41" s="1709"/>
    </row>
    <row r="42" spans="2:29">
      <c r="N42" s="1386" t="s">
        <v>849</v>
      </c>
      <c r="O42" s="1706" t="s">
        <v>850</v>
      </c>
      <c r="P42" s="1706"/>
      <c r="Q42" s="1706"/>
      <c r="R42" s="1706"/>
      <c r="S42" s="1706"/>
      <c r="T42" s="1706"/>
      <c r="U42" s="1706"/>
      <c r="V42" s="1706"/>
      <c r="W42" s="1706"/>
      <c r="Y42" s="1386" t="s">
        <v>851</v>
      </c>
      <c r="Z42" s="1709" t="s">
        <v>852</v>
      </c>
      <c r="AA42" s="1709"/>
      <c r="AB42" s="1709"/>
      <c r="AC42" s="1709"/>
    </row>
    <row r="43" spans="2:29">
      <c r="N43" s="1386" t="s">
        <v>939</v>
      </c>
      <c r="O43" s="1706" t="s">
        <v>940</v>
      </c>
      <c r="P43" s="1706"/>
      <c r="Q43" s="1706"/>
      <c r="R43" s="1706"/>
      <c r="S43" s="1706"/>
      <c r="T43" s="1706"/>
      <c r="U43" s="1706"/>
      <c r="V43" s="1706"/>
      <c r="W43" s="1706"/>
      <c r="Y43" s="1386" t="s">
        <v>845</v>
      </c>
      <c r="Z43" s="1709" t="s">
        <v>846</v>
      </c>
      <c r="AA43" s="1709"/>
      <c r="AB43" s="1709"/>
      <c r="AC43" s="1709"/>
    </row>
    <row r="44" spans="2:29">
      <c r="N44" s="1386" t="s">
        <v>853</v>
      </c>
      <c r="O44" s="1706" t="s">
        <v>854</v>
      </c>
      <c r="P44" s="1706"/>
      <c r="Q44" s="1706"/>
      <c r="R44" s="1706"/>
      <c r="S44" s="1706"/>
      <c r="T44" s="1706"/>
      <c r="U44" s="1706"/>
      <c r="V44" s="1706"/>
      <c r="W44" s="1706"/>
      <c r="Y44" s="1386" t="s">
        <v>849</v>
      </c>
      <c r="Z44" s="1709" t="s">
        <v>850</v>
      </c>
      <c r="AA44" s="1709"/>
      <c r="AB44" s="1709"/>
      <c r="AC44" s="1709"/>
    </row>
    <row r="45" spans="2:29">
      <c r="N45" s="1386" t="s">
        <v>855</v>
      </c>
      <c r="O45" s="1706" t="s">
        <v>856</v>
      </c>
      <c r="P45" s="1706"/>
      <c r="Q45" s="1706"/>
      <c r="R45" s="1706"/>
      <c r="S45" s="1706"/>
      <c r="T45" s="1706"/>
      <c r="U45" s="1706"/>
      <c r="V45" s="1706"/>
      <c r="W45" s="1706"/>
      <c r="Y45" s="1386" t="s">
        <v>858</v>
      </c>
      <c r="Z45" s="1709" t="s">
        <v>859</v>
      </c>
      <c r="AA45" s="1709"/>
      <c r="AB45" s="1709"/>
      <c r="AC45" s="1709"/>
    </row>
    <row r="46" spans="2:29">
      <c r="N46" s="1386" t="s">
        <v>847</v>
      </c>
      <c r="O46" s="1706" t="s">
        <v>857</v>
      </c>
      <c r="P46" s="1706"/>
      <c r="Q46" s="1706"/>
      <c r="R46" s="1706"/>
      <c r="S46" s="1706"/>
      <c r="T46" s="1706"/>
      <c r="U46" s="1706"/>
      <c r="V46" s="1706"/>
      <c r="W46" s="1706"/>
      <c r="Y46" s="1386" t="s">
        <v>861</v>
      </c>
      <c r="Z46" s="1709" t="s">
        <v>862</v>
      </c>
      <c r="AA46" s="1709"/>
      <c r="AB46" s="1709"/>
      <c r="AC46" s="1709"/>
    </row>
    <row r="47" spans="2:29">
      <c r="N47" s="1386" t="s">
        <v>851</v>
      </c>
      <c r="O47" s="1706" t="s">
        <v>860</v>
      </c>
      <c r="P47" s="1706"/>
      <c r="Q47" s="1706"/>
      <c r="R47" s="1706"/>
      <c r="S47" s="1706"/>
      <c r="T47" s="1706"/>
      <c r="U47" s="1706"/>
      <c r="V47" s="1706"/>
      <c r="W47" s="1706"/>
      <c r="Y47" s="1387" t="s">
        <v>864</v>
      </c>
      <c r="Z47" s="1707" t="s">
        <v>865</v>
      </c>
      <c r="AA47" s="1707"/>
      <c r="AB47" s="1707"/>
      <c r="AC47" s="1707"/>
    </row>
    <row r="48" spans="2:29">
      <c r="N48" s="1386" t="s">
        <v>858</v>
      </c>
      <c r="O48" s="1706" t="s">
        <v>863</v>
      </c>
      <c r="P48" s="1706"/>
      <c r="Q48" s="1706"/>
      <c r="R48" s="1706"/>
      <c r="S48" s="1706"/>
      <c r="T48" s="1706"/>
      <c r="U48" s="1706"/>
      <c r="V48" s="1706"/>
      <c r="W48" s="1706"/>
      <c r="Y48" s="1386" t="s">
        <v>853</v>
      </c>
      <c r="Z48" s="1709" t="s">
        <v>854</v>
      </c>
      <c r="AA48" s="1709"/>
      <c r="AB48" s="1709"/>
      <c r="AC48" s="1709"/>
    </row>
    <row r="49" spans="14:29">
      <c r="N49" s="1386" t="s">
        <v>866</v>
      </c>
      <c r="O49" s="1706" t="s">
        <v>867</v>
      </c>
      <c r="P49" s="1706"/>
      <c r="Q49" s="1706"/>
      <c r="R49" s="1706"/>
      <c r="S49" s="1706"/>
      <c r="T49" s="1706"/>
      <c r="U49" s="1706"/>
      <c r="V49" s="1706"/>
      <c r="W49" s="1706"/>
      <c r="Y49" s="1388" t="s">
        <v>855</v>
      </c>
      <c r="Z49" s="1710" t="s">
        <v>856</v>
      </c>
      <c r="AA49" s="1710"/>
      <c r="AB49" s="1710"/>
      <c r="AC49" s="1710"/>
    </row>
    <row r="50" spans="14:29">
      <c r="N50" s="1386" t="s">
        <v>861</v>
      </c>
      <c r="O50" s="1706" t="s">
        <v>868</v>
      </c>
      <c r="P50" s="1706"/>
      <c r="Q50" s="1706"/>
      <c r="R50" s="1706"/>
      <c r="S50" s="1706"/>
      <c r="T50" s="1706"/>
      <c r="U50" s="1706"/>
      <c r="V50" s="1706"/>
      <c r="W50" s="1706"/>
    </row>
    <row r="51" spans="14:29">
      <c r="N51" s="1388" t="s">
        <v>864</v>
      </c>
      <c r="O51" s="1708" t="s">
        <v>869</v>
      </c>
      <c r="P51" s="1708"/>
      <c r="Q51" s="1708"/>
      <c r="R51" s="1708"/>
      <c r="S51" s="1708"/>
      <c r="T51" s="1708"/>
      <c r="U51" s="1708"/>
      <c r="V51" s="1708"/>
      <c r="W51" s="1708"/>
    </row>
  </sheetData>
  <sheetProtection algorithmName="SHA-512" hashValue="ldRqamK0mDKo8nmADtiR40yU5hDScovOPjbCxeSClNSH/DUr+bafvil87e8FsWwXfGfM+0oiXgR17ixhLd/R4Q==" saltValue="4L4imlhUBQjfI45A74Rvpg==" spinCount="100000" sheet="1" objects="1" scenarios="1"/>
  <mergeCells count="50">
    <mergeCell ref="A27:B27"/>
    <mergeCell ref="C5:C7"/>
    <mergeCell ref="D5:D7"/>
    <mergeCell ref="L5:L7"/>
    <mergeCell ref="E5:E7"/>
    <mergeCell ref="F5:F7"/>
    <mergeCell ref="G5:G7"/>
    <mergeCell ref="I5:I7"/>
    <mergeCell ref="K5:K7"/>
    <mergeCell ref="A5:A7"/>
    <mergeCell ref="B5:B6"/>
    <mergeCell ref="A15:B15"/>
    <mergeCell ref="A8:B8"/>
    <mergeCell ref="A24:B24"/>
    <mergeCell ref="N5:O6"/>
    <mergeCell ref="Q5:S6"/>
    <mergeCell ref="W5:Z6"/>
    <mergeCell ref="AA5:AD6"/>
    <mergeCell ref="H4:L4"/>
    <mergeCell ref="N4:AD4"/>
    <mergeCell ref="H5:H7"/>
    <mergeCell ref="M5:M7"/>
    <mergeCell ref="J5:J7"/>
    <mergeCell ref="T5:V6"/>
    <mergeCell ref="N37:W37"/>
    <mergeCell ref="Y37:AC37"/>
    <mergeCell ref="O39:W39"/>
    <mergeCell ref="Z39:AC39"/>
    <mergeCell ref="O40:W40"/>
    <mergeCell ref="Z40:AC40"/>
    <mergeCell ref="O41:W41"/>
    <mergeCell ref="Z41:AC41"/>
    <mergeCell ref="O42:W42"/>
    <mergeCell ref="Z42:AC42"/>
    <mergeCell ref="O44:W44"/>
    <mergeCell ref="Z43:AC43"/>
    <mergeCell ref="O43:W43"/>
    <mergeCell ref="Z44:AC44"/>
    <mergeCell ref="O45:W45"/>
    <mergeCell ref="O46:W46"/>
    <mergeCell ref="Z45:AC45"/>
    <mergeCell ref="O47:W47"/>
    <mergeCell ref="Z46:AC46"/>
    <mergeCell ref="O48:W48"/>
    <mergeCell ref="Z47:AC47"/>
    <mergeCell ref="O49:W49"/>
    <mergeCell ref="O50:W50"/>
    <mergeCell ref="O51:W51"/>
    <mergeCell ref="Z48:AC48"/>
    <mergeCell ref="Z49:AC49"/>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536</v>
      </c>
    </row>
    <row r="9" spans="2:2">
      <c r="B9" s="527"/>
    </row>
    <row r="10" spans="2:2">
      <c r="B10" s="524"/>
    </row>
    <row r="11" spans="2:2" ht="25.5">
      <c r="B11" s="1544" t="s">
        <v>537</v>
      </c>
    </row>
    <row r="12" spans="2:2">
      <c r="B12" s="1545"/>
    </row>
    <row r="13" spans="2:2" ht="76.5">
      <c r="B13" s="1545" t="s">
        <v>538</v>
      </c>
    </row>
    <row r="14" spans="2:2">
      <c r="B14" s="1545"/>
    </row>
    <row r="15" spans="2:2" ht="51">
      <c r="B15" s="1545" t="s">
        <v>539</v>
      </c>
    </row>
    <row r="16" spans="2:2">
      <c r="B16" s="1545"/>
    </row>
    <row r="17" spans="2:2" ht="51">
      <c r="B17" s="1546" t="s">
        <v>540</v>
      </c>
    </row>
  </sheetData>
  <sheetProtection algorithmName="SHA-512" hashValue="Jond4CE2PTW0pCr6Hr7lO79ZSWjb/KUt4mdTCGLhPVvjLnrRqDJM/UoKbta7xFVpMJPtDlGJJ0v/4zVfaYS4jw==" saltValue="pR9i/2rAJCn44ykoABmfh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EG1" activePane="topRight" state="frozen"/>
      <selection pane="topRight"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511</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215</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179</v>
      </c>
      <c r="BB1" s="53" t="s">
        <v>190</v>
      </c>
      <c r="BC1" s="32" t="s">
        <v>275</v>
      </c>
      <c r="BD1" s="31" t="s">
        <v>199</v>
      </c>
      <c r="BE1" s="53" t="s">
        <v>213</v>
      </c>
      <c r="BF1" s="32" t="s">
        <v>214</v>
      </c>
      <c r="BG1" s="31" t="s">
        <v>270</v>
      </c>
      <c r="BH1" s="53" t="s">
        <v>271</v>
      </c>
      <c r="BI1" s="32" t="s">
        <v>278</v>
      </c>
      <c r="BJ1" s="31" t="s">
        <v>294</v>
      </c>
      <c r="BK1" s="53" t="s">
        <v>299</v>
      </c>
      <c r="BL1" s="32" t="s">
        <v>300</v>
      </c>
      <c r="BM1" s="31" t="s">
        <v>305</v>
      </c>
      <c r="BN1" s="53"/>
      <c r="BO1" s="32"/>
      <c r="BP1" s="31"/>
      <c r="BQ1" s="53"/>
      <c r="BR1" s="32"/>
      <c r="BS1" s="31"/>
      <c r="BT1" s="53"/>
      <c r="BU1" s="32"/>
      <c r="BV1" s="31" t="s">
        <v>356</v>
      </c>
      <c r="BW1" s="53" t="s">
        <v>357</v>
      </c>
      <c r="BX1" s="32" t="s">
        <v>362</v>
      </c>
      <c r="BY1" s="31" t="s">
        <v>364</v>
      </c>
      <c r="BZ1" s="53" t="s">
        <v>374</v>
      </c>
      <c r="CA1" s="32" t="s">
        <v>375</v>
      </c>
      <c r="CB1" s="31" t="s">
        <v>459</v>
      </c>
      <c r="CC1" s="53" t="s">
        <v>462</v>
      </c>
      <c r="CD1" s="32" t="s">
        <v>464</v>
      </c>
      <c r="CE1" s="31" t="s">
        <v>474</v>
      </c>
      <c r="CF1" s="53" t="s">
        <v>475</v>
      </c>
      <c r="CG1" s="32" t="s">
        <v>476</v>
      </c>
      <c r="CH1" s="31" t="s">
        <v>477</v>
      </c>
      <c r="CI1" s="53" t="s">
        <v>501</v>
      </c>
      <c r="CJ1" s="32" t="s">
        <v>503</v>
      </c>
      <c r="CK1" s="31" t="s">
        <v>288</v>
      </c>
      <c r="CL1" s="53" t="s">
        <v>408</v>
      </c>
      <c r="CM1" s="32" t="s">
        <v>413</v>
      </c>
      <c r="CN1" s="31" t="s">
        <v>433</v>
      </c>
      <c r="CO1" s="53" t="s">
        <v>434</v>
      </c>
      <c r="CP1" s="32" t="s">
        <v>451</v>
      </c>
      <c r="CQ1" s="31" t="s">
        <v>452</v>
      </c>
      <c r="CR1" s="32" t="s">
        <v>453</v>
      </c>
      <c r="CS1" s="31" t="s">
        <v>224</v>
      </c>
      <c r="CT1" s="32" t="s">
        <v>243</v>
      </c>
      <c r="CU1" s="31" t="s">
        <v>244</v>
      </c>
      <c r="CV1" s="32" t="s">
        <v>245</v>
      </c>
      <c r="CW1" s="31" t="s">
        <v>246</v>
      </c>
      <c r="CX1" s="32" t="s">
        <v>247</v>
      </c>
      <c r="CY1" s="31" t="s">
        <v>248</v>
      </c>
      <c r="CZ1" s="32" t="s">
        <v>249</v>
      </c>
      <c r="DA1" s="31" t="s">
        <v>250</v>
      </c>
      <c r="DB1" s="32" t="s">
        <v>251</v>
      </c>
      <c r="DC1" s="31" t="s">
        <v>255</v>
      </c>
      <c r="DD1" s="32" t="s">
        <v>256</v>
      </c>
      <c r="DE1" s="31" t="s">
        <v>525</v>
      </c>
      <c r="DF1" s="32" t="s">
        <v>62</v>
      </c>
      <c r="DG1" s="31" t="s">
        <v>588</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CATALUÑA</v>
      </c>
    </row>
    <row r="4" spans="1:155" ht="13.5" thickBot="1">
      <c r="A4" t="str">
        <f>Criterios!A10</f>
        <v>Provincias</v>
      </c>
      <c r="B4" t="str">
        <f>Criterios!B10</f>
        <v>LLEIDA</v>
      </c>
      <c r="CE4" s="1787" t="s">
        <v>346</v>
      </c>
      <c r="CF4" s="1788"/>
      <c r="CG4" s="1788"/>
      <c r="CH4" s="1789"/>
    </row>
    <row r="5" spans="1:155" ht="12.75" customHeight="1" thickBot="1">
      <c r="A5" s="1817" t="str">
        <f>"Año:  " &amp;Criterios!B5 &amp; "                  Trimestre   " &amp;Criterios!D5 &amp; " al " &amp;Criterios!D6</f>
        <v>Año:  2022                  Trimestre   1 al 4</v>
      </c>
      <c r="B5" s="1819" t="s">
        <v>512</v>
      </c>
      <c r="C5" s="1822" t="s">
        <v>49</v>
      </c>
      <c r="D5" s="1828" t="s">
        <v>40</v>
      </c>
      <c r="E5" s="1829"/>
      <c r="F5" s="1829"/>
      <c r="G5" s="1829"/>
      <c r="H5" s="1830"/>
      <c r="I5" s="1834" t="s">
        <v>84</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176</v>
      </c>
      <c r="AP5" s="1793" t="s">
        <v>177</v>
      </c>
      <c r="AQ5" s="1793" t="s">
        <v>123</v>
      </c>
      <c r="AR5" s="1793" t="s">
        <v>178</v>
      </c>
      <c r="AS5" s="1805" t="s">
        <v>211</v>
      </c>
      <c r="AT5" s="1805" t="s">
        <v>212</v>
      </c>
      <c r="AU5" s="1805" t="s">
        <v>303</v>
      </c>
      <c r="AV5" s="1805" t="s">
        <v>301</v>
      </c>
      <c r="AW5" s="1805" t="s">
        <v>304</v>
      </c>
      <c r="AX5" s="1805" t="s">
        <v>302</v>
      </c>
      <c r="AY5" s="1799" t="s">
        <v>152</v>
      </c>
      <c r="AZ5" s="1853"/>
      <c r="BA5" s="1853"/>
      <c r="BB5" s="1853"/>
      <c r="BC5" s="1854"/>
      <c r="BD5" s="1799" t="s">
        <v>153</v>
      </c>
      <c r="BE5" s="1800"/>
      <c r="BF5" s="1800"/>
      <c r="BG5" s="1801"/>
      <c r="BH5" s="1793" t="s">
        <v>188</v>
      </c>
      <c r="BI5" s="1793" t="s">
        <v>189</v>
      </c>
      <c r="BJ5" s="1850" t="s">
        <v>269</v>
      </c>
      <c r="BK5" s="1810" t="s">
        <v>272</v>
      </c>
      <c r="BL5" s="1810" t="s">
        <v>279</v>
      </c>
      <c r="BM5" s="1847" t="s">
        <v>409</v>
      </c>
      <c r="BN5" s="1630"/>
      <c r="BO5" s="1631"/>
      <c r="BP5" s="1630"/>
      <c r="BQ5" s="1631"/>
      <c r="BR5" s="1630"/>
      <c r="BS5" s="1631"/>
      <c r="BT5" s="1630"/>
      <c r="BU5" s="1631"/>
      <c r="BV5" s="1807" t="s">
        <v>345</v>
      </c>
      <c r="BW5" s="1813" t="s">
        <v>323</v>
      </c>
      <c r="BX5" s="1813" t="s">
        <v>324</v>
      </c>
      <c r="BY5" s="1796" t="s">
        <v>332</v>
      </c>
      <c r="BZ5" s="1796" t="s">
        <v>458</v>
      </c>
      <c r="CA5" s="1816" t="s">
        <v>361</v>
      </c>
      <c r="CB5" s="1816" t="s">
        <v>352</v>
      </c>
      <c r="CC5" s="1816" t="s">
        <v>353</v>
      </c>
      <c r="CD5" s="1816" t="s">
        <v>354</v>
      </c>
      <c r="CE5" s="1790" t="s">
        <v>365</v>
      </c>
      <c r="CF5" s="1790" t="s">
        <v>344</v>
      </c>
      <c r="CG5" s="1790" t="s">
        <v>342</v>
      </c>
      <c r="CH5" s="1790" t="s">
        <v>343</v>
      </c>
      <c r="CI5" s="1864" t="s">
        <v>372</v>
      </c>
      <c r="CJ5" s="1864" t="s">
        <v>373</v>
      </c>
      <c r="CK5" s="1774" t="s">
        <v>543</v>
      </c>
      <c r="CL5" s="1774" t="s">
        <v>544</v>
      </c>
      <c r="CM5" s="1774" t="s">
        <v>582</v>
      </c>
      <c r="CN5" s="1858" t="s">
        <v>480</v>
      </c>
      <c r="CO5" s="1858" t="s">
        <v>473</v>
      </c>
      <c r="CP5" s="1858" t="s">
        <v>479</v>
      </c>
      <c r="CQ5" s="1873" t="s">
        <v>478</v>
      </c>
      <c r="CR5" s="1873" t="s">
        <v>478</v>
      </c>
      <c r="CS5" s="1790" t="s">
        <v>499</v>
      </c>
      <c r="CT5" s="1790" t="s">
        <v>502</v>
      </c>
      <c r="CU5" s="1790" t="s">
        <v>287</v>
      </c>
      <c r="CV5" s="1790" t="s">
        <v>401</v>
      </c>
      <c r="CW5" s="1790" t="s">
        <v>432</v>
      </c>
      <c r="CX5" s="1790" t="s">
        <v>443</v>
      </c>
      <c r="CY5" s="1790" t="s">
        <v>569</v>
      </c>
      <c r="CZ5" s="1790" t="s">
        <v>570</v>
      </c>
      <c r="DA5" s="1790" t="s">
        <v>571</v>
      </c>
      <c r="DB5" s="1762" t="s">
        <v>252</v>
      </c>
      <c r="DC5" s="1762" t="s">
        <v>253</v>
      </c>
      <c r="DD5" s="1762" t="s">
        <v>254</v>
      </c>
      <c r="DE5" s="1781" t="s">
        <v>225</v>
      </c>
      <c r="DF5" s="1781" t="s">
        <v>524</v>
      </c>
      <c r="DG5" s="1790" t="s">
        <v>584</v>
      </c>
      <c r="DH5" s="1774" t="s">
        <v>543</v>
      </c>
      <c r="DI5" s="1774" t="s">
        <v>544</v>
      </c>
      <c r="DJ5" s="1774" t="s">
        <v>581</v>
      </c>
      <c r="DK5" s="1774" t="s">
        <v>635</v>
      </c>
      <c r="DL5" s="1774" t="s">
        <v>639</v>
      </c>
      <c r="DM5" s="1777" t="s">
        <v>709</v>
      </c>
      <c r="DN5" s="1777" t="s">
        <v>710</v>
      </c>
      <c r="DO5" s="1777" t="s">
        <v>711</v>
      </c>
      <c r="DP5" s="1777" t="s">
        <v>712</v>
      </c>
      <c r="DQ5" s="1777" t="s">
        <v>713</v>
      </c>
      <c r="DR5" s="1777" t="s">
        <v>714</v>
      </c>
      <c r="DS5" s="1777" t="s">
        <v>715</v>
      </c>
      <c r="DT5" s="1777" t="s">
        <v>716</v>
      </c>
      <c r="DU5" s="1778" t="s">
        <v>717</v>
      </c>
      <c r="DV5" s="1756" t="s">
        <v>718</v>
      </c>
      <c r="DW5" s="1753" t="s">
        <v>719</v>
      </c>
      <c r="DX5" s="1777" t="s">
        <v>720</v>
      </c>
      <c r="DY5" s="1750" t="s">
        <v>721</v>
      </c>
      <c r="DZ5" s="1753" t="s">
        <v>722</v>
      </c>
      <c r="EA5" s="1750" t="s">
        <v>723</v>
      </c>
      <c r="EB5" s="1784" t="s">
        <v>783</v>
      </c>
      <c r="EC5" s="1784" t="s">
        <v>784</v>
      </c>
      <c r="ED5" s="1784" t="s">
        <v>785</v>
      </c>
      <c r="EE5" s="1784" t="s">
        <v>825</v>
      </c>
      <c r="EF5" s="1784" t="s">
        <v>829</v>
      </c>
      <c r="EG5" s="1750" t="s">
        <v>827</v>
      </c>
      <c r="EH5" s="1750" t="s">
        <v>828</v>
      </c>
      <c r="EI5" s="1750" t="s">
        <v>787</v>
      </c>
      <c r="EJ5" s="1750" t="s">
        <v>788</v>
      </c>
      <c r="EK5" s="1765" t="s">
        <v>876</v>
      </c>
      <c r="EL5" s="1768" t="s">
        <v>894</v>
      </c>
      <c r="EM5" s="1769"/>
      <c r="EN5" s="1770"/>
      <c r="EO5" s="1762" t="s">
        <v>994</v>
      </c>
      <c r="EP5" s="1762" t="s">
        <v>996</v>
      </c>
      <c r="EQ5" s="1762" t="s">
        <v>997</v>
      </c>
      <c r="ER5" s="1762" t="s">
        <v>1002</v>
      </c>
      <c r="ES5" s="1762" t="s">
        <v>1012</v>
      </c>
      <c r="ET5" s="1759" t="s">
        <v>1097</v>
      </c>
      <c r="EU5" s="1759" t="s">
        <v>1098</v>
      </c>
      <c r="EV5" s="1870" t="s">
        <v>1119</v>
      </c>
      <c r="EW5" s="1870" t="s">
        <v>1125</v>
      </c>
      <c r="EX5" s="1867" t="s">
        <v>1161</v>
      </c>
      <c r="EY5" s="1861" t="s">
        <v>1175</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151</v>
      </c>
      <c r="T6" s="1837"/>
      <c r="U6" s="1837"/>
      <c r="V6" s="1837"/>
      <c r="W6" s="1839"/>
      <c r="X6" s="1840"/>
      <c r="Y6" s="1841" t="s">
        <v>46</v>
      </c>
      <c r="Z6" s="1842"/>
      <c r="AA6" s="1842"/>
      <c r="AB6" s="1843"/>
      <c r="AC6" s="1841" t="s">
        <v>47</v>
      </c>
      <c r="AD6" s="1842"/>
      <c r="AE6" s="1842"/>
      <c r="AF6" s="1846"/>
      <c r="AG6" s="1825" t="s">
        <v>85</v>
      </c>
      <c r="AH6" s="1826"/>
      <c r="AI6" s="1826"/>
      <c r="AJ6" s="1827"/>
      <c r="AK6" s="1844" t="s">
        <v>86</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c r="BO6" s="1628"/>
      <c r="BP6" s="1628"/>
      <c r="BQ6" s="1628"/>
      <c r="BR6" s="1628"/>
      <c r="BS6" s="1628"/>
      <c r="BT6" s="1628"/>
      <c r="BU6" s="1628"/>
      <c r="BV6" s="1808"/>
      <c r="BW6" s="1814"/>
      <c r="BX6" s="1814"/>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79"/>
      <c r="DV6" s="1757"/>
      <c r="DW6" s="1754"/>
      <c r="DX6" s="1677"/>
      <c r="DY6" s="1751"/>
      <c r="DZ6" s="1754"/>
      <c r="EA6" s="1751"/>
      <c r="EB6" s="1785"/>
      <c r="EC6" s="1785"/>
      <c r="ED6" s="1785"/>
      <c r="EE6" s="1785"/>
      <c r="EF6" s="1785"/>
      <c r="EG6" s="1751"/>
      <c r="EH6" s="1751"/>
      <c r="EI6" s="1751"/>
      <c r="EJ6" s="1751"/>
      <c r="EK6" s="1766"/>
      <c r="EL6" s="1771"/>
      <c r="EM6" s="1772"/>
      <c r="EN6" s="1773"/>
      <c r="EO6" s="1763"/>
      <c r="EP6" s="1763"/>
      <c r="EQ6" s="1763"/>
      <c r="ER6" s="1763"/>
      <c r="ES6" s="1763"/>
      <c r="ET6" s="1760"/>
      <c r="EU6" s="1760"/>
      <c r="EV6" s="1871"/>
      <c r="EW6" s="1871"/>
      <c r="EX6" s="1868"/>
      <c r="EY6" s="1862"/>
    </row>
    <row r="7" spans="1:155" ht="87" customHeight="1" thickBot="1">
      <c r="A7" s="72" t="s">
        <v>993</v>
      </c>
      <c r="B7" s="1821"/>
      <c r="C7" s="1824"/>
      <c r="D7" s="69" t="s">
        <v>513</v>
      </c>
      <c r="E7" s="70" t="s">
        <v>170</v>
      </c>
      <c r="F7" s="70" t="s">
        <v>169</v>
      </c>
      <c r="G7" s="131" t="s">
        <v>51</v>
      </c>
      <c r="H7" s="132" t="s">
        <v>514</v>
      </c>
      <c r="I7" s="9" t="s">
        <v>23</v>
      </c>
      <c r="J7" s="10" t="s">
        <v>18</v>
      </c>
      <c r="K7" s="10" t="s">
        <v>14</v>
      </c>
      <c r="L7" s="11" t="s">
        <v>24</v>
      </c>
      <c r="M7" s="9" t="s">
        <v>12</v>
      </c>
      <c r="N7" s="10" t="s">
        <v>13</v>
      </c>
      <c r="O7" s="172" t="s">
        <v>281</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131</v>
      </c>
      <c r="BG7" s="106" t="s">
        <v>132</v>
      </c>
      <c r="BH7" s="1795"/>
      <c r="BI7" s="1795"/>
      <c r="BJ7" s="1852"/>
      <c r="BK7" s="1812"/>
      <c r="BL7" s="1812"/>
      <c r="BM7" s="1849"/>
      <c r="BN7" s="1629"/>
      <c r="BO7" s="1629"/>
      <c r="BP7" s="1629"/>
      <c r="BQ7" s="1629"/>
      <c r="BR7" s="1629"/>
      <c r="BS7" s="1629"/>
      <c r="BT7" s="1629"/>
      <c r="BU7" s="1629"/>
      <c r="BV7" s="1809"/>
      <c r="BW7" s="1815"/>
      <c r="BX7" s="1815"/>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80"/>
      <c r="DV7" s="1758"/>
      <c r="DW7" s="1755"/>
      <c r="DX7" s="1678"/>
      <c r="DY7" s="1752"/>
      <c r="DZ7" s="1755"/>
      <c r="EA7" s="1752"/>
      <c r="EB7" s="1786"/>
      <c r="EC7" s="1786"/>
      <c r="ED7" s="1786"/>
      <c r="EE7" s="1786"/>
      <c r="EF7" s="1786"/>
      <c r="EG7" s="1752"/>
      <c r="EH7" s="1752"/>
      <c r="EI7" s="1752"/>
      <c r="EJ7" s="1752"/>
      <c r="EK7" s="1767"/>
      <c r="EL7" s="851" t="s">
        <v>895</v>
      </c>
      <c r="EM7" s="851" t="s">
        <v>129</v>
      </c>
      <c r="EN7" s="851" t="s">
        <v>130</v>
      </c>
      <c r="EO7" s="1764"/>
      <c r="EP7" s="1764"/>
      <c r="EQ7" s="1764"/>
      <c r="ER7" s="1764"/>
      <c r="ES7" s="1764"/>
      <c r="ET7" s="1761"/>
      <c r="EU7" s="1761"/>
      <c r="EV7" s="1872"/>
      <c r="EW7" s="1872"/>
      <c r="EX7" s="1869"/>
      <c r="EY7" s="1863"/>
    </row>
    <row r="8" spans="1:155" ht="14.25" customHeight="1" thickBot="1">
      <c r="A8" s="73" t="s">
        <v>145</v>
      </c>
      <c r="B8" s="151" t="s">
        <v>515</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595</v>
      </c>
      <c r="DI8" s="53" t="s">
        <v>596</v>
      </c>
      <c r="DJ8" s="532" t="s">
        <v>597</v>
      </c>
      <c r="DK8" s="532" t="s">
        <v>636</v>
      </c>
      <c r="DL8" s="532" t="s">
        <v>637</v>
      </c>
      <c r="DM8" s="532" t="s">
        <v>724</v>
      </c>
      <c r="DN8" s="532" t="s">
        <v>725</v>
      </c>
      <c r="DO8" s="532" t="s">
        <v>726</v>
      </c>
      <c r="DP8" s="532" t="s">
        <v>727</v>
      </c>
      <c r="DQ8" s="532" t="s">
        <v>728</v>
      </c>
      <c r="DR8" s="532" t="s">
        <v>729</v>
      </c>
      <c r="DS8" s="532" t="s">
        <v>730</v>
      </c>
      <c r="DT8" s="532" t="s">
        <v>731</v>
      </c>
      <c r="DU8" s="538" t="s">
        <v>732</v>
      </c>
      <c r="DV8" s="532" t="s">
        <v>733</v>
      </c>
      <c r="DW8" s="532" t="s">
        <v>734</v>
      </c>
      <c r="DX8" s="532" t="s">
        <v>735</v>
      </c>
      <c r="DY8" s="532" t="s">
        <v>736</v>
      </c>
      <c r="DZ8" s="532" t="s">
        <v>737</v>
      </c>
      <c r="EA8" s="532" t="s">
        <v>738</v>
      </c>
      <c r="EB8" s="532" t="s">
        <v>795</v>
      </c>
      <c r="EC8" s="532" t="s">
        <v>796</v>
      </c>
      <c r="ED8" s="532" t="s">
        <v>797</v>
      </c>
      <c r="EE8" s="532" t="s">
        <v>798</v>
      </c>
      <c r="EF8" s="532" t="s">
        <v>799</v>
      </c>
      <c r="EG8" s="532" t="s">
        <v>800</v>
      </c>
      <c r="EH8" s="532" t="s">
        <v>801</v>
      </c>
      <c r="EI8" s="532" t="s">
        <v>802</v>
      </c>
      <c r="EJ8" s="532" t="s">
        <v>803</v>
      </c>
      <c r="EK8" s="532" t="s">
        <v>877</v>
      </c>
      <c r="EL8" s="852" t="s">
        <v>896</v>
      </c>
      <c r="EM8" s="852" t="s">
        <v>897</v>
      </c>
      <c r="EN8" s="852" t="s">
        <v>898</v>
      </c>
      <c r="EO8" s="53" t="s">
        <v>995</v>
      </c>
      <c r="EP8" s="53" t="s">
        <v>1000</v>
      </c>
      <c r="EQ8" s="532" t="s">
        <v>1001</v>
      </c>
      <c r="ER8" s="532">
        <v>148</v>
      </c>
      <c r="ES8" s="532" t="s">
        <v>1013</v>
      </c>
      <c r="ET8" s="1519" t="s">
        <v>1099</v>
      </c>
      <c r="EU8" s="1519" t="s">
        <v>1100</v>
      </c>
      <c r="EV8" s="165" t="s">
        <v>1108</v>
      </c>
      <c r="EW8" s="165">
        <v>153</v>
      </c>
      <c r="EX8" s="532" t="s">
        <v>1160</v>
      </c>
      <c r="EY8" s="532" t="s">
        <v>1174</v>
      </c>
    </row>
    <row r="9" spans="1:155" ht="14.25" customHeight="1">
      <c r="A9" s="20" t="s">
        <v>72</v>
      </c>
      <c r="B9" s="21" t="s">
        <v>515</v>
      </c>
      <c r="C9" s="22" t="s">
        <v>8</v>
      </c>
      <c r="D9" s="23" t="s">
        <v>25</v>
      </c>
      <c r="E9" s="21" t="s">
        <v>26</v>
      </c>
      <c r="F9" s="21">
        <v>32</v>
      </c>
      <c r="G9" s="6"/>
      <c r="H9" s="146" t="s">
        <v>316</v>
      </c>
      <c r="I9" s="193">
        <v>5486</v>
      </c>
      <c r="J9" s="194">
        <v>13585</v>
      </c>
      <c r="K9" s="194">
        <v>12467</v>
      </c>
      <c r="L9" s="194">
        <v>6746</v>
      </c>
      <c r="M9" s="194">
        <v>2986</v>
      </c>
      <c r="N9" s="194">
        <v>5189</v>
      </c>
      <c r="O9" s="194">
        <v>6169</v>
      </c>
      <c r="P9" s="194">
        <v>3028</v>
      </c>
      <c r="Q9" s="194">
        <v>4306</v>
      </c>
      <c r="R9" s="194">
        <v>11202</v>
      </c>
      <c r="S9" s="194">
        <v>5630</v>
      </c>
      <c r="T9" s="194">
        <v>9867</v>
      </c>
      <c r="U9" s="194">
        <v>10042</v>
      </c>
      <c r="V9" s="194">
        <v>5486</v>
      </c>
      <c r="W9" s="194">
        <v>2706</v>
      </c>
      <c r="X9" s="201">
        <v>3825</v>
      </c>
      <c r="Y9" s="204">
        <v>125</v>
      </c>
      <c r="Z9" s="194">
        <v>443</v>
      </c>
      <c r="AA9" s="194">
        <v>386</v>
      </c>
      <c r="AB9" s="194">
        <v>183</v>
      </c>
      <c r="AC9" s="194">
        <v>0</v>
      </c>
      <c r="AD9" s="194">
        <v>0</v>
      </c>
      <c r="AE9" s="194">
        <v>0</v>
      </c>
      <c r="AF9" s="201">
        <v>0</v>
      </c>
      <c r="AG9" s="204">
        <v>172</v>
      </c>
      <c r="AH9" s="194">
        <v>421</v>
      </c>
      <c r="AI9" s="194">
        <v>465</v>
      </c>
      <c r="AJ9" s="205">
        <v>125</v>
      </c>
      <c r="AK9" s="193">
        <v>0</v>
      </c>
      <c r="AL9" s="194">
        <v>0</v>
      </c>
      <c r="AM9" s="194">
        <v>0</v>
      </c>
      <c r="AN9" s="201">
        <v>0</v>
      </c>
      <c r="AO9" s="282">
        <v>7</v>
      </c>
      <c r="AP9" s="167">
        <v>7</v>
      </c>
      <c r="AQ9" s="167">
        <v>7</v>
      </c>
      <c r="AR9" s="206">
        <v>7</v>
      </c>
      <c r="AS9" s="379" t="s">
        <v>1067</v>
      </c>
      <c r="AT9" s="208"/>
      <c r="AU9" s="207"/>
      <c r="AV9" s="208"/>
      <c r="AW9" s="207"/>
      <c r="AX9" s="208"/>
      <c r="AY9" s="133">
        <f>IF(ISNUMBER(IF(J_V="SI",S9,S9+AG9)),IF(J_V="SI",S9,S9+AG9)," - ")</f>
        <v>5802</v>
      </c>
      <c r="AZ9" s="133">
        <f>IF(ISNUMBER(IF(J_V="SI",T9,T9+AH9)),IF(J_V="SI",T9,T9+AH9)," - ")</f>
        <v>10288</v>
      </c>
      <c r="BA9" s="134">
        <f>IF(ISNUMBER(IF(J_V="SI",U9,U9+AI9)),IF(J_V="SI",U9,U9+AI9)," - ")</f>
        <v>10507</v>
      </c>
      <c r="BB9" s="134">
        <f>IF(ISNUMBER(IF(J_V="SI",V9,V9+AJ9)),IF(J_V="SI",V9,V9+AJ9)," - ")</f>
        <v>5611</v>
      </c>
      <c r="BC9" s="135">
        <f>IF(ISNUMBER(X9),X9," - ")</f>
        <v>3825</v>
      </c>
      <c r="BD9" s="136">
        <f>IF(ISNUMBER(BA9/AZ9),BA9/AZ9," - ")</f>
        <v>1.0212869362363919</v>
      </c>
      <c r="BE9" s="137">
        <f>IF(ISNUMBER(BB9/BA9),BB9/BA9, " - ")</f>
        <v>0.53402493575711429</v>
      </c>
      <c r="BF9" s="137">
        <f>IF(ISNUMBER(BC9/BA9),BC9/BA9, " - ")</f>
        <v>0.36404301893975444</v>
      </c>
      <c r="BG9" s="209">
        <f>IF(ISNUMBER((AY9+AZ9)/BA9),(AY9+AZ9)/BA9," - ")</f>
        <v>1.5313600456838299</v>
      </c>
      <c r="BH9" s="167">
        <v>7</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1134</v>
      </c>
      <c r="EP9" s="1331"/>
      <c r="EQ9" s="1331"/>
      <c r="ER9" s="1337">
        <v>1200</v>
      </c>
      <c r="ES9" s="1331"/>
      <c r="ET9" s="1520"/>
      <c r="EU9" s="1520"/>
      <c r="EV9" s="1542"/>
      <c r="EW9" s="1542"/>
      <c r="EX9" s="1567"/>
      <c r="EY9" s="530"/>
    </row>
    <row r="10" spans="1:155" ht="14.25" customHeight="1">
      <c r="A10" s="20" t="s">
        <v>184</v>
      </c>
      <c r="B10" s="21" t="s">
        <v>515</v>
      </c>
      <c r="C10" s="22" t="s">
        <v>8</v>
      </c>
      <c r="D10" s="23" t="s">
        <v>114</v>
      </c>
      <c r="E10" s="21" t="s">
        <v>114</v>
      </c>
      <c r="F10" s="21" t="s">
        <v>179</v>
      </c>
      <c r="G10" s="6"/>
      <c r="H10" s="28"/>
      <c r="I10" s="193">
        <v>128</v>
      </c>
      <c r="J10" s="194">
        <v>228</v>
      </c>
      <c r="K10" s="194">
        <v>197</v>
      </c>
      <c r="L10" s="194">
        <v>159</v>
      </c>
      <c r="M10" s="194">
        <v>71</v>
      </c>
      <c r="N10" s="194">
        <v>93</v>
      </c>
      <c r="O10" s="194">
        <v>42</v>
      </c>
      <c r="P10" s="194">
        <v>34</v>
      </c>
      <c r="Q10" s="194">
        <v>39</v>
      </c>
      <c r="R10" s="194">
        <v>116</v>
      </c>
      <c r="S10" s="194">
        <v>125</v>
      </c>
      <c r="T10" s="194">
        <v>202</v>
      </c>
      <c r="U10" s="194">
        <v>209</v>
      </c>
      <c r="V10" s="194">
        <v>128</v>
      </c>
      <c r="W10" s="194">
        <v>81</v>
      </c>
      <c r="X10" s="201">
        <v>103</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1</v>
      </c>
      <c r="AQ10" s="167">
        <v>1</v>
      </c>
      <c r="AR10" s="168">
        <v>1</v>
      </c>
      <c r="AS10" s="380" t="s">
        <v>1061</v>
      </c>
      <c r="AT10" s="205"/>
      <c r="AU10" s="213"/>
      <c r="AV10" s="205"/>
      <c r="AW10" s="213"/>
      <c r="AX10" s="205"/>
      <c r="AY10" s="138">
        <f t="shared" ref="AY10:BC10" si="0">IF(ISNUMBER(S10),S10," - ")</f>
        <v>125</v>
      </c>
      <c r="AZ10" s="139">
        <f t="shared" si="0"/>
        <v>202</v>
      </c>
      <c r="BA10" s="139">
        <f t="shared" si="0"/>
        <v>209</v>
      </c>
      <c r="BB10" s="139">
        <f t="shared" si="0"/>
        <v>128</v>
      </c>
      <c r="BC10" s="135">
        <f t="shared" si="0"/>
        <v>81</v>
      </c>
      <c r="BD10" s="136">
        <f>IF(ISNUMBER(BA10/AZ10),BA10/AZ10," - ")</f>
        <v>1.0346534653465347</v>
      </c>
      <c r="BE10" s="137">
        <f>IF(ISNUMBER(BB10/BA10),BB10/BA10, " - ")</f>
        <v>0.61244019138755978</v>
      </c>
      <c r="BF10" s="137">
        <f>IF(ISNUMBER(BC10/BA10),BC10/BA10, " - ")</f>
        <v>0.38755980861244022</v>
      </c>
      <c r="BG10" s="209">
        <f>IF(ISNUMBER((AY10+AZ10)/BA10),(AY10+AZ10)/BA10," - ")</f>
        <v>1.5645933014354068</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1035</v>
      </c>
      <c r="EP10" s="380"/>
      <c r="EQ10" s="380"/>
      <c r="ER10" s="1338">
        <v>1600</v>
      </c>
      <c r="ES10" s="380"/>
      <c r="ET10" s="1520"/>
      <c r="EU10" s="1520"/>
      <c r="EV10" s="1542"/>
      <c r="EW10" s="1542"/>
      <c r="EX10" s="1568"/>
      <c r="EY10" s="315"/>
    </row>
    <row r="11" spans="1:155" ht="14.25" customHeight="1" thickBot="1">
      <c r="A11" s="20" t="s">
        <v>516</v>
      </c>
      <c r="B11" s="21" t="s">
        <v>515</v>
      </c>
      <c r="C11" s="22" t="s">
        <v>8</v>
      </c>
      <c r="D11" s="23" t="s">
        <v>25</v>
      </c>
      <c r="E11" s="21" t="s">
        <v>78</v>
      </c>
      <c r="F11" s="21">
        <v>32</v>
      </c>
      <c r="G11" s="6"/>
      <c r="H11" s="28" t="s">
        <v>52</v>
      </c>
      <c r="I11" s="195">
        <v>788</v>
      </c>
      <c r="J11" s="196">
        <v>1346</v>
      </c>
      <c r="K11" s="196">
        <v>1356</v>
      </c>
      <c r="L11" s="196">
        <v>808</v>
      </c>
      <c r="M11" s="196">
        <v>574</v>
      </c>
      <c r="N11" s="196">
        <v>1490</v>
      </c>
      <c r="O11" s="194">
        <v>558</v>
      </c>
      <c r="P11" s="196">
        <v>237</v>
      </c>
      <c r="Q11" s="196">
        <v>195</v>
      </c>
      <c r="R11" s="196">
        <v>776</v>
      </c>
      <c r="S11" s="196">
        <v>937</v>
      </c>
      <c r="T11" s="196">
        <v>1312</v>
      </c>
      <c r="U11" s="196">
        <v>1489</v>
      </c>
      <c r="V11" s="196">
        <v>788</v>
      </c>
      <c r="W11" s="196">
        <v>718</v>
      </c>
      <c r="X11" s="202">
        <v>2110</v>
      </c>
      <c r="Y11" s="204">
        <v>1096</v>
      </c>
      <c r="Z11" s="194">
        <v>1029</v>
      </c>
      <c r="AA11" s="194">
        <v>1077</v>
      </c>
      <c r="AB11" s="194">
        <v>81</v>
      </c>
      <c r="AC11" s="196">
        <v>0</v>
      </c>
      <c r="AD11" s="196">
        <v>0</v>
      </c>
      <c r="AE11" s="196">
        <v>0</v>
      </c>
      <c r="AF11" s="202">
        <v>0</v>
      </c>
      <c r="AG11" s="215">
        <v>629</v>
      </c>
      <c r="AH11" s="196">
        <v>1823</v>
      </c>
      <c r="AI11" s="196">
        <v>1839</v>
      </c>
      <c r="AJ11" s="216">
        <v>1096</v>
      </c>
      <c r="AK11" s="195">
        <v>0</v>
      </c>
      <c r="AL11" s="196">
        <v>0</v>
      </c>
      <c r="AM11" s="196">
        <v>0</v>
      </c>
      <c r="AN11" s="202">
        <v>0</v>
      </c>
      <c r="AO11" s="283">
        <v>2</v>
      </c>
      <c r="AP11" s="168">
        <v>2</v>
      </c>
      <c r="AQ11" s="168">
        <v>2</v>
      </c>
      <c r="AR11" s="167">
        <v>2</v>
      </c>
      <c r="AS11" s="381" t="s">
        <v>1068</v>
      </c>
      <c r="AT11" s="216"/>
      <c r="AU11" s="215"/>
      <c r="AV11" s="216"/>
      <c r="AW11" s="215"/>
      <c r="AX11" s="216"/>
      <c r="AY11" s="136">
        <f t="shared" ref="AY11:BB12" si="1">IF(ISNUMBER(IF(J_V="SI",S11,S11+AG11)),IF(J_V="SI",S11,S11+AG11)," - ")</f>
        <v>1566</v>
      </c>
      <c r="AZ11" s="137">
        <f t="shared" si="1"/>
        <v>3135</v>
      </c>
      <c r="BA11" s="137">
        <f t="shared" si="1"/>
        <v>3328</v>
      </c>
      <c r="BB11" s="137">
        <f t="shared" si="1"/>
        <v>1884</v>
      </c>
      <c r="BC11" s="135">
        <f>IF(ISNUMBER(X11),X11," - ")</f>
        <v>2110</v>
      </c>
      <c r="BD11" s="136">
        <f t="shared" ref="BD11:BD13" si="2">IF(ISNUMBER(BA11/AZ11),BA11/AZ11," - ")</f>
        <v>1.0615629984051036</v>
      </c>
      <c r="BE11" s="137">
        <f t="shared" ref="BE11:BE13" si="3">IF(ISNUMBER(BB11/BA11),BB11/BA11, " - ")</f>
        <v>0.56610576923076927</v>
      </c>
      <c r="BF11" s="137">
        <f t="shared" ref="BF11:BF13" si="4">IF(ISNUMBER(BC11/BA11),BC11/BA11, " - ")</f>
        <v>0.63401442307692313</v>
      </c>
      <c r="BG11" s="209">
        <f t="shared" ref="BG11:BG13" si="5">IF(ISNUMBER((AY11+AZ11)/BA11),(AY11+AZ11)/BA11," - ")</f>
        <v>1.4125600961538463</v>
      </c>
      <c r="BH11" s="168">
        <v>2</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1137</v>
      </c>
      <c r="EP11" s="1332"/>
      <c r="EQ11" s="1332"/>
      <c r="ER11" s="1339">
        <v>1323</v>
      </c>
      <c r="ES11" s="1332"/>
      <c r="ET11" s="1520"/>
      <c r="EU11" s="1520"/>
      <c r="EV11" s="1542"/>
      <c r="EW11" s="1542"/>
      <c r="EX11" s="1568"/>
      <c r="EY11" s="836"/>
    </row>
    <row r="12" spans="1:155" ht="14.25" customHeight="1">
      <c r="A12" s="20" t="s">
        <v>517</v>
      </c>
      <c r="B12" s="21" t="s">
        <v>515</v>
      </c>
      <c r="C12" s="22" t="s">
        <v>8</v>
      </c>
      <c r="D12" s="23" t="s">
        <v>25</v>
      </c>
      <c r="E12" s="21" t="s">
        <v>25</v>
      </c>
      <c r="F12" s="21">
        <v>31</v>
      </c>
      <c r="G12" s="6"/>
      <c r="H12" s="229"/>
      <c r="I12" s="195">
        <v>1</v>
      </c>
      <c r="J12" s="196">
        <v>0</v>
      </c>
      <c r="K12" s="196">
        <v>0</v>
      </c>
      <c r="L12" s="196">
        <v>1</v>
      </c>
      <c r="M12" s="196">
        <v>0</v>
      </c>
      <c r="N12" s="196">
        <v>0</v>
      </c>
      <c r="O12" s="194">
        <v>5</v>
      </c>
      <c r="P12" s="196">
        <v>0</v>
      </c>
      <c r="Q12" s="196">
        <v>18</v>
      </c>
      <c r="R12" s="196">
        <v>260</v>
      </c>
      <c r="S12" s="196">
        <v>3</v>
      </c>
      <c r="T12" s="196">
        <v>3</v>
      </c>
      <c r="U12" s="196">
        <v>5</v>
      </c>
      <c r="V12" s="196">
        <v>1</v>
      </c>
      <c r="W12" s="196">
        <v>0</v>
      </c>
      <c r="X12" s="202">
        <v>2</v>
      </c>
      <c r="Y12" s="204">
        <v>0</v>
      </c>
      <c r="Z12" s="194">
        <v>0</v>
      </c>
      <c r="AA12" s="194">
        <v>0</v>
      </c>
      <c r="AB12" s="194">
        <v>0</v>
      </c>
      <c r="AC12" s="196">
        <v>0</v>
      </c>
      <c r="AD12" s="196">
        <v>0</v>
      </c>
      <c r="AE12" s="196">
        <v>0</v>
      </c>
      <c r="AF12" s="202">
        <v>0</v>
      </c>
      <c r="AG12" s="215">
        <v>0</v>
      </c>
      <c r="AH12" s="196">
        <v>0</v>
      </c>
      <c r="AI12" s="196">
        <v>0</v>
      </c>
      <c r="AJ12" s="216">
        <v>0</v>
      </c>
      <c r="AK12" s="195">
        <v>0</v>
      </c>
      <c r="AL12" s="196">
        <v>0</v>
      </c>
      <c r="AM12" s="196">
        <v>0</v>
      </c>
      <c r="AN12" s="202">
        <v>0</v>
      </c>
      <c r="AO12" s="283">
        <v>0</v>
      </c>
      <c r="AP12" s="168">
        <v>0</v>
      </c>
      <c r="AQ12" s="168">
        <v>0</v>
      </c>
      <c r="AR12" s="167">
        <v>0</v>
      </c>
      <c r="AS12" s="381" t="s">
        <v>1069</v>
      </c>
      <c r="AT12" s="216"/>
      <c r="AU12" s="215"/>
      <c r="AV12" s="216"/>
      <c r="AW12" s="215"/>
      <c r="AX12" s="216"/>
      <c r="AY12" s="136">
        <f t="shared" si="1"/>
        <v>3</v>
      </c>
      <c r="AZ12" s="137">
        <f t="shared" si="1"/>
        <v>3</v>
      </c>
      <c r="BA12" s="137">
        <f t="shared" si="1"/>
        <v>5</v>
      </c>
      <c r="BB12" s="137">
        <f t="shared" si="1"/>
        <v>1</v>
      </c>
      <c r="BC12" s="135">
        <f>IF(ISNUMBER(X12),X12," - ")</f>
        <v>2</v>
      </c>
      <c r="BD12" s="136">
        <f t="shared" si="2"/>
        <v>1.6666666666666667</v>
      </c>
      <c r="BE12" s="137">
        <f t="shared" si="3"/>
        <v>0.2</v>
      </c>
      <c r="BF12" s="137">
        <f t="shared" si="4"/>
        <v>0.4</v>
      </c>
      <c r="BG12" s="209">
        <f t="shared" si="5"/>
        <v>1.2</v>
      </c>
      <c r="BH12" s="168">
        <v>0</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1135</v>
      </c>
      <c r="EP12" s="1333"/>
      <c r="EQ12" s="1333"/>
      <c r="ER12" s="1337">
        <v>680</v>
      </c>
      <c r="ES12" s="1333"/>
      <c r="ET12" s="1520"/>
      <c r="EU12" s="1520"/>
      <c r="EV12" s="1542"/>
      <c r="EW12" s="1542"/>
      <c r="EX12" s="1568"/>
      <c r="EY12" s="836"/>
    </row>
    <row r="13" spans="1:155" ht="14.25" customHeight="1">
      <c r="A13" s="20" t="s">
        <v>142</v>
      </c>
      <c r="B13" s="21" t="s">
        <v>515</v>
      </c>
      <c r="C13" s="22" t="s">
        <v>8</v>
      </c>
      <c r="D13" s="23" t="s">
        <v>28</v>
      </c>
      <c r="E13" s="21" t="s">
        <v>28</v>
      </c>
      <c r="F13" s="21" t="s">
        <v>104</v>
      </c>
      <c r="G13" s="6"/>
      <c r="H13" s="229"/>
      <c r="I13" s="195" t="s">
        <v>138</v>
      </c>
      <c r="J13" s="196" t="s">
        <v>139</v>
      </c>
      <c r="K13" s="196" t="s">
        <v>140</v>
      </c>
      <c r="L13" s="196" t="s">
        <v>141</v>
      </c>
      <c r="M13" s="196" t="s">
        <v>137</v>
      </c>
      <c r="N13" s="196" t="s">
        <v>665</v>
      </c>
      <c r="O13" s="196" t="s">
        <v>290</v>
      </c>
      <c r="P13" s="196" t="s">
        <v>192</v>
      </c>
      <c r="Q13" s="196" t="s">
        <v>194</v>
      </c>
      <c r="R13" s="196" t="s">
        <v>193</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515</v>
      </c>
      <c r="C14" s="79" t="s">
        <v>9</v>
      </c>
      <c r="D14" s="80"/>
      <c r="E14" s="81"/>
      <c r="F14" s="81"/>
      <c r="G14" s="82"/>
      <c r="H14" s="83"/>
      <c r="I14" s="197">
        <f t="shared" ref="I14:AE14" si="7">SUBTOTAL(9,I8:I13)</f>
        <v>6403</v>
      </c>
      <c r="J14" s="197">
        <f t="shared" si="7"/>
        <v>15159</v>
      </c>
      <c r="K14" s="197">
        <f t="shared" si="7"/>
        <v>14020</v>
      </c>
      <c r="L14" s="197">
        <f t="shared" si="7"/>
        <v>7714</v>
      </c>
      <c r="M14" s="197">
        <f t="shared" si="7"/>
        <v>3631</v>
      </c>
      <c r="N14" s="197">
        <f t="shared" si="7"/>
        <v>6772</v>
      </c>
      <c r="O14" s="197">
        <f t="shared" si="7"/>
        <v>6774</v>
      </c>
      <c r="P14" s="197">
        <f t="shared" si="7"/>
        <v>3299</v>
      </c>
      <c r="Q14" s="197">
        <f t="shared" si="7"/>
        <v>4558</v>
      </c>
      <c r="R14" s="197">
        <f t="shared" si="7"/>
        <v>12354</v>
      </c>
      <c r="S14" s="197">
        <f t="shared" si="7"/>
        <v>6695</v>
      </c>
      <c r="T14" s="197">
        <f t="shared" si="7"/>
        <v>11384</v>
      </c>
      <c r="U14" s="197">
        <f t="shared" si="7"/>
        <v>11745</v>
      </c>
      <c r="V14" s="197">
        <f t="shared" si="7"/>
        <v>6403</v>
      </c>
      <c r="W14" s="197">
        <f t="shared" si="7"/>
        <v>3505</v>
      </c>
      <c r="X14" s="197">
        <f t="shared" si="7"/>
        <v>6040</v>
      </c>
      <c r="Y14" s="197">
        <f t="shared" si="7"/>
        <v>1221</v>
      </c>
      <c r="Z14" s="197">
        <f t="shared" si="7"/>
        <v>1472</v>
      </c>
      <c r="AA14" s="197">
        <f t="shared" si="7"/>
        <v>1463</v>
      </c>
      <c r="AB14" s="197">
        <f t="shared" si="7"/>
        <v>264</v>
      </c>
      <c r="AC14" s="197">
        <f t="shared" si="7"/>
        <v>0</v>
      </c>
      <c r="AD14" s="197">
        <f t="shared" si="7"/>
        <v>0</v>
      </c>
      <c r="AE14" s="197">
        <f t="shared" si="7"/>
        <v>0</v>
      </c>
      <c r="AF14" s="197">
        <f>SUBTOTAL(9,AF9:AF13)</f>
        <v>0</v>
      </c>
      <c r="AG14" s="197">
        <f t="shared" ref="AG14:AT14" si="8">SUBTOTAL(9,AG8:AG13)</f>
        <v>801</v>
      </c>
      <c r="AH14" s="197">
        <f t="shared" si="8"/>
        <v>2244</v>
      </c>
      <c r="AI14" s="197">
        <f t="shared" si="8"/>
        <v>2304</v>
      </c>
      <c r="AJ14" s="197">
        <f t="shared" si="8"/>
        <v>1221</v>
      </c>
      <c r="AK14" s="197">
        <f t="shared" si="8"/>
        <v>0</v>
      </c>
      <c r="AL14" s="197">
        <f t="shared" si="8"/>
        <v>0</v>
      </c>
      <c r="AM14" s="197">
        <f t="shared" si="8"/>
        <v>0</v>
      </c>
      <c r="AN14" s="197">
        <f t="shared" si="8"/>
        <v>0</v>
      </c>
      <c r="AO14" s="197">
        <f t="shared" si="8"/>
        <v>10</v>
      </c>
      <c r="AP14" s="197">
        <f t="shared" si="8"/>
        <v>10</v>
      </c>
      <c r="AQ14" s="197">
        <f t="shared" si="8"/>
        <v>10</v>
      </c>
      <c r="AR14" s="197">
        <f t="shared" si="8"/>
        <v>10</v>
      </c>
      <c r="AS14" s="197">
        <f t="shared" si="8"/>
        <v>0</v>
      </c>
      <c r="AT14" s="197">
        <f t="shared" si="8"/>
        <v>0</v>
      </c>
      <c r="AU14" s="217"/>
      <c r="AV14" s="142"/>
      <c r="AW14" s="217"/>
      <c r="AX14" s="142"/>
      <c r="AY14" s="197">
        <f>SUBTOTAL(9,AY8:AY13)</f>
        <v>7496</v>
      </c>
      <c r="AZ14" s="197">
        <f>SUBTOTAL(9,AZ8:AZ13)</f>
        <v>13628</v>
      </c>
      <c r="BA14" s="197">
        <f>SUBTOTAL(9,BA8:BA13)</f>
        <v>14049</v>
      </c>
      <c r="BB14" s="197">
        <f>SUBTOTAL(9,BB8:BB13)</f>
        <v>7624</v>
      </c>
      <c r="BC14" s="197">
        <f>SUBTOTAL(9,BC8:BC13)</f>
        <v>6018</v>
      </c>
      <c r="BD14" s="219">
        <f>IF(ISNUMBER(BA14/AZ14),BA14/AZ14," - ")</f>
        <v>1.0308922805987673</v>
      </c>
      <c r="BE14" s="220">
        <f>IF(ISNUMBER(BB14/BA14),BB14/BA14, " - ")</f>
        <v>0.54267207630436332</v>
      </c>
      <c r="BF14" s="220">
        <f>IF(ISNUMBER(BC14/BA14),BC14/BA14, " - ")</f>
        <v>0.42835789024129833</v>
      </c>
      <c r="BG14" s="221">
        <f>IF(ISNUMBER((AY14+AZ14)/BA14),(AY14+AZ14)/BA14," - ")</f>
        <v>1.503594561890526</v>
      </c>
      <c r="BH14" s="153">
        <f>SUBTOTAL(9,BH8:BH13)</f>
        <v>10</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515</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518</v>
      </c>
      <c r="B16" s="21" t="s">
        <v>515</v>
      </c>
      <c r="C16" s="22" t="s">
        <v>8</v>
      </c>
      <c r="D16" s="23" t="s">
        <v>25</v>
      </c>
      <c r="E16" s="21" t="s">
        <v>27</v>
      </c>
      <c r="F16" s="21">
        <v>33</v>
      </c>
      <c r="G16" s="6"/>
      <c r="H16" s="24"/>
      <c r="I16" s="195">
        <v>4590</v>
      </c>
      <c r="J16" s="196">
        <v>16366</v>
      </c>
      <c r="K16" s="196">
        <v>15842</v>
      </c>
      <c r="L16" s="196">
        <v>5276</v>
      </c>
      <c r="M16" s="196">
        <v>2236</v>
      </c>
      <c r="N16" s="196">
        <v>10558</v>
      </c>
      <c r="O16" s="194">
        <v>237</v>
      </c>
      <c r="P16" s="196">
        <v>574</v>
      </c>
      <c r="Q16" s="196">
        <v>482</v>
      </c>
      <c r="R16" s="196">
        <v>557</v>
      </c>
      <c r="S16" s="196">
        <v>4282</v>
      </c>
      <c r="T16" s="196">
        <v>14945</v>
      </c>
      <c r="U16" s="196">
        <v>14844</v>
      </c>
      <c r="V16" s="196">
        <v>4590</v>
      </c>
      <c r="W16" s="196">
        <v>2142</v>
      </c>
      <c r="X16" s="202">
        <v>9952</v>
      </c>
      <c r="Y16" s="215">
        <v>0</v>
      </c>
      <c r="Z16" s="196">
        <v>0</v>
      </c>
      <c r="AA16" s="196">
        <v>0</v>
      </c>
      <c r="AB16" s="196">
        <v>0</v>
      </c>
      <c r="AC16" s="196">
        <v>0</v>
      </c>
      <c r="AD16" s="196">
        <v>506</v>
      </c>
      <c r="AE16" s="196">
        <v>506</v>
      </c>
      <c r="AF16" s="202">
        <v>0</v>
      </c>
      <c r="AG16" s="215">
        <v>0</v>
      </c>
      <c r="AH16" s="196">
        <v>0</v>
      </c>
      <c r="AI16" s="196">
        <v>0</v>
      </c>
      <c r="AJ16" s="216">
        <v>0</v>
      </c>
      <c r="AK16" s="195">
        <v>0</v>
      </c>
      <c r="AL16" s="196">
        <v>456</v>
      </c>
      <c r="AM16" s="196">
        <v>456</v>
      </c>
      <c r="AN16" s="202">
        <v>0</v>
      </c>
      <c r="AO16" s="283">
        <v>4</v>
      </c>
      <c r="AP16" s="168">
        <v>4</v>
      </c>
      <c r="AQ16" s="168">
        <v>4</v>
      </c>
      <c r="AR16" s="168">
        <v>4</v>
      </c>
      <c r="AS16" s="381" t="s">
        <v>697</v>
      </c>
      <c r="AT16" s="216" t="s">
        <v>420</v>
      </c>
      <c r="AU16" s="215"/>
      <c r="AV16" s="216"/>
      <c r="AW16" s="215"/>
      <c r="AX16" s="216"/>
      <c r="AY16" s="138">
        <f t="shared" ref="AY16:BB17" si="10">IF(ISNUMBER(IF(D_I="SI",S16,S16+AK16)),IF(D_I="SI",S16,S16+AK16)," - ")</f>
        <v>4282</v>
      </c>
      <c r="AZ16" s="139">
        <f t="shared" si="10"/>
        <v>14945</v>
      </c>
      <c r="BA16" s="139">
        <f t="shared" si="10"/>
        <v>14844</v>
      </c>
      <c r="BB16" s="139">
        <f t="shared" si="10"/>
        <v>4590</v>
      </c>
      <c r="BC16" s="135">
        <f>IF(ISNUMBER(W16),W16," - ")</f>
        <v>2142</v>
      </c>
      <c r="BD16" s="136">
        <f>IF(ISNUMBER(BA16/AZ16),BA16/AZ16," - ")</f>
        <v>0.99324188691870186</v>
      </c>
      <c r="BE16" s="137">
        <f>IF(ISNUMBER(BB16/BA16),BB16/BA16, " - ")</f>
        <v>0.30921584478577202</v>
      </c>
      <c r="BF16" s="137">
        <f>IF(ISNUMBER(BC16/BA16),BC16/BA16, " - ")</f>
        <v>0.14430072756669363</v>
      </c>
      <c r="BG16" s="209">
        <f t="shared" ref="BG16:BG22" si="11">IF(ISNUMBER((AY16+AZ16)/BA16),(AY16+AZ16)/BA16," - ")</f>
        <v>1.2952708164915117</v>
      </c>
      <c r="BH16" s="168">
        <v>4</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1070</v>
      </c>
      <c r="EP16" s="1332"/>
      <c r="EQ16" s="1332"/>
      <c r="ER16" s="1339">
        <v>3300</v>
      </c>
      <c r="ES16" s="1332"/>
      <c r="ET16" s="1520"/>
      <c r="EU16" s="1520"/>
      <c r="EV16" s="1542"/>
      <c r="EW16" s="1542"/>
      <c r="EX16" s="168"/>
      <c r="EY16" s="786"/>
    </row>
    <row r="17" spans="1:155" ht="14.25" customHeight="1">
      <c r="A17" s="7" t="s">
        <v>517</v>
      </c>
      <c r="B17" s="21" t="s">
        <v>515</v>
      </c>
      <c r="C17" s="22" t="s">
        <v>8</v>
      </c>
      <c r="D17" s="23" t="s">
        <v>25</v>
      </c>
      <c r="E17" s="21" t="s">
        <v>25</v>
      </c>
      <c r="F17" s="21">
        <v>31</v>
      </c>
      <c r="G17" s="6"/>
      <c r="H17" s="24"/>
      <c r="I17" s="195" t="s">
        <v>647</v>
      </c>
      <c r="J17" s="196" t="s">
        <v>643</v>
      </c>
      <c r="K17" s="196" t="s">
        <v>644</v>
      </c>
      <c r="L17" s="196" t="s">
        <v>645</v>
      </c>
      <c r="M17" s="196" t="s">
        <v>650</v>
      </c>
      <c r="N17" s="196" t="s">
        <v>196</v>
      </c>
      <c r="O17" s="194" t="s">
        <v>283</v>
      </c>
      <c r="P17" s="196" t="s">
        <v>629</v>
      </c>
      <c r="Q17" s="196" t="s">
        <v>630</v>
      </c>
      <c r="R17" s="196" t="s">
        <v>631</v>
      </c>
      <c r="S17" s="196"/>
      <c r="T17" s="196"/>
      <c r="U17" s="196"/>
      <c r="V17" s="196"/>
      <c r="W17" s="196"/>
      <c r="X17" s="202"/>
      <c r="Y17" s="215"/>
      <c r="Z17" s="196"/>
      <c r="AA17" s="196"/>
      <c r="AB17" s="196"/>
      <c r="AC17" s="196" t="s">
        <v>66</v>
      </c>
      <c r="AD17" s="196" t="s">
        <v>75</v>
      </c>
      <c r="AE17" s="196" t="s">
        <v>76</v>
      </c>
      <c r="AF17" s="202" t="s">
        <v>77</v>
      </c>
      <c r="AG17" s="215"/>
      <c r="AH17" s="196"/>
      <c r="AI17" s="196"/>
      <c r="AJ17" s="216"/>
      <c r="AK17" s="195"/>
      <c r="AL17" s="196"/>
      <c r="AM17" s="196"/>
      <c r="AN17" s="202"/>
      <c r="AO17" s="283">
        <v>0</v>
      </c>
      <c r="AP17" s="168">
        <v>0</v>
      </c>
      <c r="AQ17" s="168">
        <v>0</v>
      </c>
      <c r="AR17" s="168">
        <v>0</v>
      </c>
      <c r="AS17" s="381" t="s">
        <v>646</v>
      </c>
      <c r="AT17" s="216"/>
      <c r="AU17" s="215"/>
      <c r="AV17" s="216"/>
      <c r="AW17" s="215"/>
      <c r="AX17" s="216"/>
      <c r="AY17" s="136" t="str">
        <f t="shared" si="10"/>
        <v xml:space="preserve"> - </v>
      </c>
      <c r="AZ17" s="137" t="str">
        <f t="shared" si="10"/>
        <v xml:space="preserve"> - </v>
      </c>
      <c r="BA17" s="137" t="str">
        <f t="shared" si="10"/>
        <v xml:space="preserve"> - </v>
      </c>
      <c r="BB17" s="137" t="str">
        <f t="shared" si="10"/>
        <v xml:space="preserve"> - </v>
      </c>
      <c r="BC17" s="135" t="str">
        <f>IF(ISNUMBER(W17),W17," - ")</f>
        <v xml:space="preserve"> - </v>
      </c>
      <c r="BD17" s="136" t="str">
        <f t="shared" ref="BD17:BD22" si="12">IF(ISNUMBER(BA17/AZ17),BA17/AZ17," - ")</f>
        <v xml:space="preserve"> - </v>
      </c>
      <c r="BE17" s="137" t="str">
        <f t="shared" ref="BE17:BE22" si="13">IF(ISNUMBER(BB17/BA17),BB17/BA17, " - ")</f>
        <v xml:space="preserve"> - </v>
      </c>
      <c r="BF17" s="137" t="str">
        <f t="shared" ref="BF17:BF22" si="14">IF(ISNUMBER(BC17/BA17),BC17/BA17, " - ")</f>
        <v xml:space="preserve"> - </v>
      </c>
      <c r="BG17" s="209" t="str">
        <f t="shared" si="11"/>
        <v xml:space="preserve"> - </v>
      </c>
      <c r="BH17" s="168">
        <v>0</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1041</v>
      </c>
      <c r="EP17" s="1332"/>
      <c r="EQ17" s="1332"/>
      <c r="ER17" s="1339">
        <v>1000</v>
      </c>
      <c r="ES17" s="1332"/>
      <c r="ET17" s="1520"/>
      <c r="EU17" s="1520"/>
      <c r="EV17" s="1542"/>
      <c r="EW17" s="1542"/>
      <c r="EX17" s="168"/>
      <c r="EY17" s="168"/>
    </row>
    <row r="18" spans="1:155" ht="14.25" customHeight="1">
      <c r="A18" s="7" t="s">
        <v>184</v>
      </c>
      <c r="B18" s="21" t="s">
        <v>515</v>
      </c>
      <c r="C18" s="22" t="s">
        <v>8</v>
      </c>
      <c r="D18" s="23" t="s">
        <v>114</v>
      </c>
      <c r="E18" s="21" t="s">
        <v>114</v>
      </c>
      <c r="F18" s="21" t="s">
        <v>179</v>
      </c>
      <c r="G18" s="6"/>
      <c r="H18" s="24"/>
      <c r="I18" s="195">
        <v>166</v>
      </c>
      <c r="J18" s="196">
        <v>1606</v>
      </c>
      <c r="K18" s="196">
        <v>1547</v>
      </c>
      <c r="L18" s="196">
        <v>225</v>
      </c>
      <c r="M18" s="196">
        <v>266</v>
      </c>
      <c r="N18" s="196">
        <v>739</v>
      </c>
      <c r="O18" s="196">
        <v>40</v>
      </c>
      <c r="P18" s="196">
        <v>21</v>
      </c>
      <c r="Q18" s="196">
        <v>40</v>
      </c>
      <c r="R18" s="196">
        <v>0</v>
      </c>
      <c r="S18" s="196">
        <v>194</v>
      </c>
      <c r="T18" s="196">
        <v>1533</v>
      </c>
      <c r="U18" s="196">
        <v>1575</v>
      </c>
      <c r="V18" s="196">
        <v>166</v>
      </c>
      <c r="W18" s="196">
        <v>261</v>
      </c>
      <c r="X18" s="202">
        <v>643</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1</v>
      </c>
      <c r="AQ18" s="167">
        <v>1</v>
      </c>
      <c r="AR18" s="168">
        <v>1</v>
      </c>
      <c r="AS18" s="380" t="s">
        <v>1060</v>
      </c>
      <c r="AT18" s="223"/>
      <c r="AU18" s="213"/>
      <c r="AV18" s="223"/>
      <c r="AW18" s="213"/>
      <c r="AX18" s="223"/>
      <c r="AY18" s="138">
        <f t="shared" ref="AY18:BB19" si="15">IF(ISNUMBER(S18),S18," - ")</f>
        <v>194</v>
      </c>
      <c r="AZ18" s="139">
        <f t="shared" si="15"/>
        <v>1533</v>
      </c>
      <c r="BA18" s="139">
        <f t="shared" si="15"/>
        <v>1575</v>
      </c>
      <c r="BB18" s="139">
        <f t="shared" si="15"/>
        <v>166</v>
      </c>
      <c r="BC18" s="135">
        <f>IF(ISNUMBER(W18),W18," - ")</f>
        <v>261</v>
      </c>
      <c r="BD18" s="136">
        <f>IF(ISNUMBER(BA18/AZ18),BA18/AZ18," - ")</f>
        <v>1.0273972602739727</v>
      </c>
      <c r="BE18" s="137">
        <f>IF(ISNUMBER(BB18/BA18),BB18/BA18, " - ")</f>
        <v>0.10539682539682539</v>
      </c>
      <c r="BF18" s="137">
        <f>IF(ISNUMBER(BC18/BA18),BC18/BA18, " - ")</f>
        <v>0.1657142857142857</v>
      </c>
      <c r="BG18" s="209">
        <f>IF(ISNUMBER((AY18+AZ18)/BA18),(AY18+AZ18)/BA18," - ")</f>
        <v>1.0965079365079364</v>
      </c>
      <c r="BH18" s="168">
        <v>1</v>
      </c>
      <c r="BI18" s="168"/>
      <c r="BJ18" s="213"/>
      <c r="BK18" s="167"/>
      <c r="BL18" s="167"/>
      <c r="BM18" s="167">
        <v>1800</v>
      </c>
      <c r="BN18" s="167"/>
      <c r="BO18" s="167"/>
      <c r="BP18" s="167"/>
      <c r="BQ18" s="167"/>
      <c r="BR18" s="167"/>
      <c r="BS18" s="167"/>
      <c r="BT18" s="167"/>
      <c r="BU18" s="167"/>
      <c r="BV18" s="167"/>
      <c r="BW18" s="167"/>
      <c r="BX18" s="167"/>
      <c r="BY18" s="187" t="s">
        <v>937</v>
      </c>
      <c r="BZ18" s="187" t="s">
        <v>938</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1042</v>
      </c>
      <c r="EP18" s="380"/>
      <c r="EQ18" s="380"/>
      <c r="ER18" s="1338">
        <v>1600</v>
      </c>
      <c r="ES18" s="380"/>
      <c r="ET18" s="1520"/>
      <c r="EU18" s="1520"/>
      <c r="EV18" s="1542"/>
      <c r="EW18" s="1542"/>
      <c r="EX18" s="168"/>
      <c r="EY18" s="168"/>
    </row>
    <row r="19" spans="1:155" ht="14.25" customHeight="1">
      <c r="A19" s="7" t="s">
        <v>519</v>
      </c>
      <c r="B19" s="21" t="s">
        <v>515</v>
      </c>
      <c r="C19" s="22" t="s">
        <v>8</v>
      </c>
      <c r="D19" s="23" t="s">
        <v>28</v>
      </c>
      <c r="E19" s="21" t="s">
        <v>28</v>
      </c>
      <c r="F19" s="21">
        <v>26</v>
      </c>
      <c r="G19" s="6"/>
      <c r="H19" s="24"/>
      <c r="I19" s="195" t="s">
        <v>67</v>
      </c>
      <c r="J19" s="196" t="s">
        <v>146</v>
      </c>
      <c r="K19" s="196" t="s">
        <v>134</v>
      </c>
      <c r="L19" s="196" t="s">
        <v>135</v>
      </c>
      <c r="M19" s="196" t="s">
        <v>136</v>
      </c>
      <c r="N19" s="196" t="s">
        <v>206</v>
      </c>
      <c r="O19" s="196" t="s">
        <v>289</v>
      </c>
      <c r="P19" s="196" t="s">
        <v>191</v>
      </c>
      <c r="Q19" s="196" t="s">
        <v>195</v>
      </c>
      <c r="R19" s="196" t="s">
        <v>203</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426</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1014</v>
      </c>
      <c r="EP19" s="1332"/>
      <c r="EQ19" s="1332"/>
      <c r="ER19" s="1339">
        <v>875</v>
      </c>
      <c r="ES19" s="1332"/>
      <c r="ET19" s="1520"/>
      <c r="EU19" s="1520"/>
      <c r="EV19" s="1542"/>
      <c r="EW19" s="1542"/>
      <c r="EX19" s="168"/>
      <c r="EY19" s="168"/>
    </row>
    <row r="20" spans="1:155" ht="13.9" customHeight="1">
      <c r="A20" s="7" t="s">
        <v>520</v>
      </c>
      <c r="B20" s="21" t="s">
        <v>515</v>
      </c>
      <c r="C20" s="22" t="s">
        <v>8</v>
      </c>
      <c r="D20" s="23" t="s">
        <v>29</v>
      </c>
      <c r="E20" s="21" t="s">
        <v>29</v>
      </c>
      <c r="F20" s="21">
        <v>25</v>
      </c>
      <c r="G20" s="6"/>
      <c r="H20" s="24"/>
      <c r="I20" s="195" t="s">
        <v>68</v>
      </c>
      <c r="J20" s="196" t="s">
        <v>69</v>
      </c>
      <c r="K20" s="196" t="s">
        <v>117</v>
      </c>
      <c r="L20" s="196" t="s">
        <v>70</v>
      </c>
      <c r="M20" s="196" t="s">
        <v>121</v>
      </c>
      <c r="N20" s="534" t="s">
        <v>623</v>
      </c>
      <c r="O20" s="534" t="s">
        <v>624</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521</v>
      </c>
      <c r="B21" s="21" t="s">
        <v>515</v>
      </c>
      <c r="C21" s="22" t="s">
        <v>8</v>
      </c>
      <c r="D21" s="23" t="s">
        <v>30</v>
      </c>
      <c r="E21" s="21" t="s">
        <v>30</v>
      </c>
      <c r="F21" s="21">
        <v>22</v>
      </c>
      <c r="G21" s="6"/>
      <c r="H21" s="28" t="s">
        <v>53</v>
      </c>
      <c r="I21" s="195" t="s">
        <v>669</v>
      </c>
      <c r="J21" s="196" t="s">
        <v>670</v>
      </c>
      <c r="K21" s="196" t="s">
        <v>671</v>
      </c>
      <c r="L21" s="196" t="s">
        <v>668</v>
      </c>
      <c r="M21" s="196" t="s">
        <v>672</v>
      </c>
      <c r="N21" s="196" t="s">
        <v>704</v>
      </c>
      <c r="O21" s="196" t="s">
        <v>291</v>
      </c>
      <c r="P21" s="196" t="s">
        <v>207</v>
      </c>
      <c r="Q21" s="196" t="s">
        <v>666</v>
      </c>
      <c r="R21" s="196" t="s">
        <v>667</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201</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412</v>
      </c>
      <c r="CO21" s="170">
        <v>450</v>
      </c>
      <c r="CP21" s="186" t="s">
        <v>412</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1026</v>
      </c>
      <c r="EP21" s="381"/>
      <c r="EQ21" s="381"/>
      <c r="ER21" s="1341" t="s">
        <v>1009</v>
      </c>
      <c r="ES21" s="381"/>
      <c r="ET21" s="1520"/>
      <c r="EU21" s="1520"/>
      <c r="EV21" s="1542"/>
      <c r="EW21" s="1542"/>
      <c r="EX21" s="168"/>
      <c r="EY21" s="786"/>
    </row>
    <row r="22" spans="1:155" ht="14.25" customHeight="1">
      <c r="A22" s="7" t="s">
        <v>522</v>
      </c>
      <c r="B22" s="21" t="s">
        <v>515</v>
      </c>
      <c r="C22" s="22" t="s">
        <v>8</v>
      </c>
      <c r="D22" s="23" t="s">
        <v>30</v>
      </c>
      <c r="E22" s="21">
        <v>10</v>
      </c>
      <c r="F22" s="21">
        <v>22</v>
      </c>
      <c r="G22" s="6"/>
      <c r="H22" s="28" t="s">
        <v>53</v>
      </c>
      <c r="I22" s="196" t="s">
        <v>121</v>
      </c>
      <c r="J22" s="196" t="s">
        <v>121</v>
      </c>
      <c r="K22" s="196" t="s">
        <v>121</v>
      </c>
      <c r="L22" s="196" t="s">
        <v>121</v>
      </c>
      <c r="M22" s="196" t="s">
        <v>121</v>
      </c>
      <c r="N22" s="196" t="s">
        <v>625</v>
      </c>
      <c r="O22" s="196" t="s">
        <v>297</v>
      </c>
      <c r="P22" s="196" t="s">
        <v>208</v>
      </c>
      <c r="Q22" s="196" t="s">
        <v>209</v>
      </c>
      <c r="R22" s="196" t="s">
        <v>210</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429</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1017</v>
      </c>
      <c r="EP22" s="381"/>
      <c r="EQ22" s="381"/>
      <c r="ER22" s="1339">
        <v>2400</v>
      </c>
      <c r="ES22" s="381"/>
      <c r="ET22" s="1520"/>
      <c r="EU22" s="1520"/>
      <c r="EV22" s="846"/>
      <c r="EW22" s="846"/>
      <c r="EX22" s="168"/>
      <c r="EY22" s="168"/>
    </row>
    <row r="23" spans="1:155" ht="14.25" customHeight="1" thickBot="1">
      <c r="A23" s="77" t="s">
        <v>5</v>
      </c>
      <c r="B23" s="78" t="s">
        <v>515</v>
      </c>
      <c r="C23" s="79" t="s">
        <v>9</v>
      </c>
      <c r="D23" s="80"/>
      <c r="E23" s="81"/>
      <c r="F23" s="81"/>
      <c r="G23" s="82"/>
      <c r="H23" s="83"/>
      <c r="I23" s="197">
        <f t="shared" ref="I23:AT23" si="21">SUBTOTAL(9,I15:I22)</f>
        <v>4756</v>
      </c>
      <c r="J23" s="197">
        <f t="shared" si="21"/>
        <v>17972</v>
      </c>
      <c r="K23" s="197">
        <f t="shared" si="21"/>
        <v>17389</v>
      </c>
      <c r="L23" s="197">
        <f t="shared" si="21"/>
        <v>5501</v>
      </c>
      <c r="M23" s="197">
        <f t="shared" si="21"/>
        <v>2502</v>
      </c>
      <c r="N23" s="197">
        <f t="shared" si="21"/>
        <v>11297</v>
      </c>
      <c r="O23" s="197">
        <f t="shared" si="21"/>
        <v>277</v>
      </c>
      <c r="P23" s="197">
        <f t="shared" si="21"/>
        <v>595</v>
      </c>
      <c r="Q23" s="197">
        <f t="shared" si="21"/>
        <v>522</v>
      </c>
      <c r="R23" s="197">
        <f t="shared" si="21"/>
        <v>557</v>
      </c>
      <c r="S23" s="197">
        <f t="shared" si="21"/>
        <v>4476</v>
      </c>
      <c r="T23" s="197">
        <f t="shared" si="21"/>
        <v>16478</v>
      </c>
      <c r="U23" s="197">
        <f t="shared" si="21"/>
        <v>16419</v>
      </c>
      <c r="V23" s="197">
        <f t="shared" si="21"/>
        <v>4756</v>
      </c>
      <c r="W23" s="197">
        <f t="shared" si="21"/>
        <v>2403</v>
      </c>
      <c r="X23" s="197">
        <f t="shared" si="21"/>
        <v>10595</v>
      </c>
      <c r="Y23" s="197">
        <f t="shared" si="21"/>
        <v>0</v>
      </c>
      <c r="Z23" s="197">
        <f t="shared" si="21"/>
        <v>0</v>
      </c>
      <c r="AA23" s="197">
        <f t="shared" si="21"/>
        <v>0</v>
      </c>
      <c r="AB23" s="197">
        <f t="shared" si="21"/>
        <v>0</v>
      </c>
      <c r="AC23" s="197">
        <f t="shared" si="21"/>
        <v>0</v>
      </c>
      <c r="AD23" s="197">
        <f t="shared" si="21"/>
        <v>506</v>
      </c>
      <c r="AE23" s="197">
        <f t="shared" si="21"/>
        <v>506</v>
      </c>
      <c r="AF23" s="197">
        <f t="shared" si="21"/>
        <v>0</v>
      </c>
      <c r="AG23" s="197">
        <f t="shared" si="21"/>
        <v>0</v>
      </c>
      <c r="AH23" s="197">
        <f t="shared" si="21"/>
        <v>0</v>
      </c>
      <c r="AI23" s="197">
        <f t="shared" si="21"/>
        <v>0</v>
      </c>
      <c r="AJ23" s="197">
        <f t="shared" si="21"/>
        <v>0</v>
      </c>
      <c r="AK23" s="197">
        <f t="shared" si="21"/>
        <v>0</v>
      </c>
      <c r="AL23" s="197">
        <f t="shared" si="21"/>
        <v>456</v>
      </c>
      <c r="AM23" s="197">
        <f t="shared" si="21"/>
        <v>456</v>
      </c>
      <c r="AN23" s="197">
        <f t="shared" si="21"/>
        <v>0</v>
      </c>
      <c r="AO23" s="197">
        <f t="shared" si="21"/>
        <v>5</v>
      </c>
      <c r="AP23" s="197">
        <f t="shared" si="21"/>
        <v>5</v>
      </c>
      <c r="AQ23" s="197">
        <f t="shared" si="21"/>
        <v>5</v>
      </c>
      <c r="AR23" s="197">
        <f t="shared" si="21"/>
        <v>5</v>
      </c>
      <c r="AS23" s="197">
        <f t="shared" si="21"/>
        <v>0</v>
      </c>
      <c r="AT23" s="197">
        <f t="shared" si="21"/>
        <v>0</v>
      </c>
      <c r="AU23" s="217"/>
      <c r="AV23" s="142"/>
      <c r="AW23" s="217"/>
      <c r="AX23" s="142"/>
      <c r="AY23" s="197">
        <f>SUBTOTAL(9,AY15:AY22)</f>
        <v>4476</v>
      </c>
      <c r="AZ23" s="197">
        <f>SUBTOTAL(9,AZ15:AZ22)</f>
        <v>16478</v>
      </c>
      <c r="BA23" s="197">
        <f>SUBTOTAL(9,BA15:BA22)</f>
        <v>16419</v>
      </c>
      <c r="BB23" s="197">
        <f>SUBTOTAL(9,BB15:BB22)</f>
        <v>4756</v>
      </c>
      <c r="BC23" s="197">
        <f>SUBTOTAL(9,BC15:BC22)</f>
        <v>2403</v>
      </c>
      <c r="BD23" s="219">
        <f>IF(ISNUMBER(BA23/AZ23),BA23/AZ23," - ")</f>
        <v>0.99641946838208517</v>
      </c>
      <c r="BE23" s="220">
        <f>IF(ISNUMBER(BB23/BA23),BB23/BA23, " - ")</f>
        <v>0.28966441317985259</v>
      </c>
      <c r="BF23" s="220">
        <f>IF(ISNUMBER(BC23/BA23),BC23/BA23, " - ")</f>
        <v>0.14635483281564041</v>
      </c>
      <c r="BG23" s="221">
        <f>IF(ISNUMBER((AY23+AZ23)/BA23),(AY23+AZ23)/BA23," - ")</f>
        <v>1.2762043973445398</v>
      </c>
      <c r="BH23" s="197">
        <f>SUBTOTAL(9,BH15:BH22)</f>
        <v>5</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515</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515</v>
      </c>
      <c r="C25" s="22" t="s">
        <v>8</v>
      </c>
      <c r="D25" s="23">
        <v>30</v>
      </c>
      <c r="E25" s="21">
        <v>30</v>
      </c>
      <c r="F25" s="21">
        <v>23</v>
      </c>
      <c r="G25" s="6"/>
      <c r="H25" s="24"/>
      <c r="I25" s="195" t="s">
        <v>79</v>
      </c>
      <c r="J25" s="196" t="s">
        <v>80</v>
      </c>
      <c r="K25" s="196" t="s">
        <v>82</v>
      </c>
      <c r="L25" s="196" t="s">
        <v>81</v>
      </c>
      <c r="M25" s="196" t="s">
        <v>83</v>
      </c>
      <c r="N25" s="196" t="s">
        <v>622</v>
      </c>
      <c r="O25" s="196" t="s">
        <v>292</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202</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515</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515</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515</v>
      </c>
      <c r="C28" s="22" t="s">
        <v>8</v>
      </c>
      <c r="D28" s="23" t="s">
        <v>31</v>
      </c>
      <c r="E28" s="21" t="s">
        <v>31</v>
      </c>
      <c r="F28" s="21">
        <v>24</v>
      </c>
      <c r="G28" s="6"/>
      <c r="H28" s="30" t="s">
        <v>54</v>
      </c>
      <c r="I28" s="195" t="s">
        <v>37</v>
      </c>
      <c r="J28" s="196" t="s">
        <v>371</v>
      </c>
      <c r="K28" s="196" t="s">
        <v>39</v>
      </c>
      <c r="L28" s="196" t="s">
        <v>38</v>
      </c>
      <c r="M28" s="196" t="s">
        <v>171</v>
      </c>
      <c r="N28" s="196" t="s">
        <v>702</v>
      </c>
      <c r="O28" s="196" t="s">
        <v>293</v>
      </c>
      <c r="P28" s="196" t="s">
        <v>1142</v>
      </c>
      <c r="Q28" s="196" t="s">
        <v>1143</v>
      </c>
      <c r="R28" s="196" t="s">
        <v>1144</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200</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411</v>
      </c>
      <c r="CO28" s="170">
        <v>850</v>
      </c>
      <c r="CP28" s="186" t="s">
        <v>411</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1005</v>
      </c>
      <c r="EP28" s="1336"/>
      <c r="EQ28" s="1336"/>
      <c r="ER28" s="1341" t="s">
        <v>1008</v>
      </c>
      <c r="ES28" s="1336"/>
      <c r="ET28" s="1520"/>
      <c r="EU28" s="1520"/>
      <c r="EV28" s="1543"/>
      <c r="EW28" s="1543"/>
      <c r="EX28" s="1347"/>
      <c r="EY28" s="170"/>
    </row>
    <row r="29" spans="1:155" ht="14.25" customHeight="1">
      <c r="A29" s="7" t="s">
        <v>4</v>
      </c>
      <c r="B29" s="21" t="s">
        <v>515</v>
      </c>
      <c r="C29" s="22" t="s">
        <v>8</v>
      </c>
      <c r="D29" s="23" t="s">
        <v>31</v>
      </c>
      <c r="E29" s="21" t="s">
        <v>32</v>
      </c>
      <c r="F29" s="21">
        <v>24</v>
      </c>
      <c r="G29" s="6"/>
      <c r="H29" s="30" t="s">
        <v>54</v>
      </c>
      <c r="I29" s="196" t="s">
        <v>121</v>
      </c>
      <c r="J29" s="196" t="s">
        <v>121</v>
      </c>
      <c r="K29" s="196" t="s">
        <v>121</v>
      </c>
      <c r="L29" s="196" t="s">
        <v>121</v>
      </c>
      <c r="M29" s="196" t="s">
        <v>121</v>
      </c>
      <c r="N29" s="196" t="s">
        <v>703</v>
      </c>
      <c r="O29" s="196" t="s">
        <v>298</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430</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1029</v>
      </c>
      <c r="EP29" s="1332"/>
      <c r="EQ29" s="1332"/>
      <c r="ER29" s="1339">
        <v>3500</v>
      </c>
      <c r="ES29" s="1332"/>
      <c r="ET29" s="1520"/>
      <c r="EU29" s="1520"/>
      <c r="EV29" s="846"/>
      <c r="EW29" s="846"/>
      <c r="EX29" s="1347"/>
      <c r="EY29" s="170"/>
    </row>
    <row r="30" spans="1:155" ht="14.25" customHeight="1" thickBot="1">
      <c r="A30" s="77" t="s">
        <v>5</v>
      </c>
      <c r="B30" s="78" t="s">
        <v>515</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11159</v>
      </c>
      <c r="J31" s="144">
        <f t="shared" si="36"/>
        <v>33131</v>
      </c>
      <c r="K31" s="144">
        <f t="shared" si="36"/>
        <v>31409</v>
      </c>
      <c r="L31" s="144">
        <f t="shared" si="36"/>
        <v>13215</v>
      </c>
      <c r="M31" s="144">
        <f t="shared" si="36"/>
        <v>6133</v>
      </c>
      <c r="N31" s="144">
        <f t="shared" si="36"/>
        <v>18069</v>
      </c>
      <c r="O31" s="144">
        <f t="shared" si="36"/>
        <v>7051</v>
      </c>
      <c r="P31" s="144">
        <f t="shared" si="36"/>
        <v>3894</v>
      </c>
      <c r="Q31" s="144">
        <f t="shared" si="36"/>
        <v>5080</v>
      </c>
      <c r="R31" s="144">
        <f t="shared" si="36"/>
        <v>12911</v>
      </c>
      <c r="S31" s="144">
        <f t="shared" si="36"/>
        <v>11171</v>
      </c>
      <c r="T31" s="144">
        <f t="shared" si="36"/>
        <v>27862</v>
      </c>
      <c r="U31" s="144">
        <f t="shared" si="36"/>
        <v>28164</v>
      </c>
      <c r="V31" s="144">
        <f t="shared" si="36"/>
        <v>11159</v>
      </c>
      <c r="W31" s="144">
        <f t="shared" si="36"/>
        <v>5908</v>
      </c>
      <c r="X31" s="144">
        <f t="shared" si="36"/>
        <v>16635</v>
      </c>
      <c r="Y31" s="144">
        <f t="shared" si="36"/>
        <v>1221</v>
      </c>
      <c r="Z31" s="144">
        <f t="shared" si="36"/>
        <v>1472</v>
      </c>
      <c r="AA31" s="144">
        <f t="shared" si="36"/>
        <v>1463</v>
      </c>
      <c r="AB31" s="144">
        <f t="shared" si="36"/>
        <v>264</v>
      </c>
      <c r="AC31" s="144">
        <f t="shared" si="36"/>
        <v>0</v>
      </c>
      <c r="AD31" s="144">
        <f t="shared" si="36"/>
        <v>506</v>
      </c>
      <c r="AE31" s="144">
        <f t="shared" si="36"/>
        <v>506</v>
      </c>
      <c r="AF31" s="144">
        <f t="shared" si="36"/>
        <v>0</v>
      </c>
      <c r="AG31" s="144">
        <f t="shared" si="36"/>
        <v>801</v>
      </c>
      <c r="AH31" s="144">
        <f t="shared" si="36"/>
        <v>2244</v>
      </c>
      <c r="AI31" s="144">
        <f t="shared" si="36"/>
        <v>2304</v>
      </c>
      <c r="AJ31" s="144">
        <f t="shared" si="36"/>
        <v>1221</v>
      </c>
      <c r="AK31" s="144">
        <f t="shared" si="36"/>
        <v>0</v>
      </c>
      <c r="AL31" s="144">
        <f t="shared" si="36"/>
        <v>456</v>
      </c>
      <c r="AM31" s="144">
        <f t="shared" si="36"/>
        <v>456</v>
      </c>
      <c r="AN31" s="224">
        <f t="shared" si="36"/>
        <v>0</v>
      </c>
      <c r="AO31" s="225">
        <v>14</v>
      </c>
      <c r="AP31" s="225">
        <v>14</v>
      </c>
      <c r="AQ31" s="225">
        <v>14</v>
      </c>
      <c r="AR31" s="225">
        <v>14</v>
      </c>
      <c r="AS31" s="166">
        <f t="shared" si="36"/>
        <v>0</v>
      </c>
      <c r="AT31" s="166">
        <f t="shared" si="36"/>
        <v>0</v>
      </c>
      <c r="AU31" s="225"/>
      <c r="AV31" s="226"/>
      <c r="AW31" s="225"/>
      <c r="AX31" s="226"/>
      <c r="AY31" s="143">
        <f>SUBTOTAL(9,AY9:AY30)</f>
        <v>11972</v>
      </c>
      <c r="AZ31" s="144">
        <f>SUBTOTAL(9,AZ9:AZ30)</f>
        <v>30106</v>
      </c>
      <c r="BA31" s="144">
        <f>SUBTOTAL(9,BA9:BA30)</f>
        <v>30468</v>
      </c>
      <c r="BB31" s="144">
        <f>SUBTOTAL(9,BB9:BB30)</f>
        <v>12380</v>
      </c>
      <c r="BC31" s="145">
        <f>SUBTOTAL(9,BC9:BC30)</f>
        <v>8421</v>
      </c>
      <c r="BD31" s="227">
        <f>IF(ISNUMBER(BA31/AZ31),BA31/AZ31," - ")</f>
        <v>1.0120241812263335</v>
      </c>
      <c r="BE31" s="224">
        <f>IF(ISNUMBER(BB31/BA31),BB31/BA31, " - ")</f>
        <v>0.4063279506367336</v>
      </c>
      <c r="BF31" s="224">
        <f>IF(ISNUMBER(BC31/BA31),BC31/BA31, " - ")</f>
        <v>0.27638834186687672</v>
      </c>
      <c r="BG31" s="145">
        <f>IF(ISNUMBER((AY31+AZ31)/BA31),(AY31+AZ31)/BA31," - ")</f>
        <v>1.381055533674675</v>
      </c>
      <c r="BH31" s="225">
        <f>SUBTOTAL(9,BH9:BH30)</f>
        <v>15</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XiNOyIZY6KC93Vos7lJIIwUqbIzjJlRIIDab/sVTHI9ChERILtKqoJ18STFWyoyHOzTc38+MYFxS4P/hPE/6Nw==" saltValue="EvljyvklpaEgz63E6928ZQ==" spinCount="100000" sheet="1" objects="1" scenarios="1"/>
  <mergeCells count="123">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A5:A6"/>
    <mergeCell ref="B5:B7"/>
    <mergeCell ref="C5:C7"/>
    <mergeCell ref="P6:R6"/>
    <mergeCell ref="D5:H6"/>
    <mergeCell ref="AG6:AJ6"/>
    <mergeCell ref="I5:AN5"/>
    <mergeCell ref="I6:O6"/>
    <mergeCell ref="S6:X6"/>
    <mergeCell ref="Y6:AB6"/>
    <mergeCell ref="AK6:AN6"/>
    <mergeCell ref="AC6:AF6"/>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EK1" activePane="topRight" state="frozen"/>
      <selection pane="topRight" activeCell="EY5" sqref="EY5:EY7"/>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525</v>
      </c>
    </row>
    <row r="2" spans="1:155">
      <c r="A2">
        <f>Criterios!C8</f>
        <v>0</v>
      </c>
      <c r="B2">
        <f>Criterios!B8</f>
        <v>0</v>
      </c>
    </row>
    <row r="3" spans="1:155" ht="13.5" thickBot="1">
      <c r="A3" t="str">
        <f>Criterios!A9</f>
        <v>Tribunales de Justicia</v>
      </c>
      <c r="B3" t="str">
        <f>Criterios!B9</f>
        <v>CATALUÑA</v>
      </c>
    </row>
    <row r="4" spans="1:155" ht="13.5" thickBot="1">
      <c r="A4" t="str">
        <f>Criterios!A10</f>
        <v>Provincias</v>
      </c>
      <c r="B4" t="str">
        <f>Criterios!B10</f>
        <v>LLEIDA</v>
      </c>
      <c r="CE4" s="1787" t="s">
        <v>346</v>
      </c>
      <c r="CF4" s="1788"/>
      <c r="CG4" s="1788"/>
      <c r="CH4" s="1789"/>
    </row>
    <row r="5" spans="1:155" ht="12.75" customHeight="1" thickBot="1">
      <c r="A5" s="1817" t="str">
        <f>"Año:  " &amp;Criterios!B5 &amp; "                  Trimestre   " &amp;Criterios!D5 &amp; " al " &amp;Criterios!D6</f>
        <v>Año:  2022                  Trimestre   1 al 4</v>
      </c>
      <c r="B5" s="1819" t="s">
        <v>512</v>
      </c>
      <c r="C5" s="1822" t="s">
        <v>49</v>
      </c>
      <c r="D5" s="1828" t="s">
        <v>40</v>
      </c>
      <c r="E5" s="1829"/>
      <c r="F5" s="1829"/>
      <c r="G5" s="1829"/>
      <c r="H5" s="1830"/>
      <c r="I5" s="1834" t="s">
        <v>84</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176</v>
      </c>
      <c r="AP5" s="1793" t="s">
        <v>177</v>
      </c>
      <c r="AQ5" s="1793" t="s">
        <v>123</v>
      </c>
      <c r="AR5" s="1793" t="s">
        <v>178</v>
      </c>
      <c r="AS5" s="1805" t="s">
        <v>211</v>
      </c>
      <c r="AT5" s="1805" t="s">
        <v>212</v>
      </c>
      <c r="AU5" s="1805" t="s">
        <v>303</v>
      </c>
      <c r="AV5" s="1805" t="s">
        <v>301</v>
      </c>
      <c r="AW5" s="1805" t="s">
        <v>304</v>
      </c>
      <c r="AX5" s="1805" t="s">
        <v>302</v>
      </c>
      <c r="AY5" s="1799" t="s">
        <v>152</v>
      </c>
      <c r="AZ5" s="1853"/>
      <c r="BA5" s="1853"/>
      <c r="BB5" s="1853"/>
      <c r="BC5" s="1854"/>
      <c r="BD5" s="1799" t="s">
        <v>153</v>
      </c>
      <c r="BE5" s="1800"/>
      <c r="BF5" s="1800"/>
      <c r="BG5" s="1801"/>
      <c r="BH5" s="1793" t="s">
        <v>188</v>
      </c>
      <c r="BI5" s="1793" t="s">
        <v>189</v>
      </c>
      <c r="BJ5" s="1850" t="s">
        <v>269</v>
      </c>
      <c r="BK5" s="1810" t="s">
        <v>272</v>
      </c>
      <c r="BL5" s="1810" t="s">
        <v>279</v>
      </c>
      <c r="BM5" s="1847" t="s">
        <v>498</v>
      </c>
      <c r="BN5" s="1630"/>
      <c r="BO5" s="1631"/>
      <c r="BP5" s="1630"/>
      <c r="BQ5" s="1631"/>
      <c r="BR5" s="1630"/>
      <c r="BS5" s="1631"/>
      <c r="BT5" s="1630"/>
      <c r="BU5" s="1631"/>
      <c r="BV5" s="1807" t="s">
        <v>345</v>
      </c>
      <c r="BW5" s="1876" t="s">
        <v>323</v>
      </c>
      <c r="BX5" s="1876" t="s">
        <v>324</v>
      </c>
      <c r="BY5" s="1796" t="s">
        <v>332</v>
      </c>
      <c r="BZ5" s="1796" t="s">
        <v>458</v>
      </c>
      <c r="CA5" s="1816" t="s">
        <v>361</v>
      </c>
      <c r="CB5" s="1816" t="s">
        <v>352</v>
      </c>
      <c r="CC5" s="1816" t="s">
        <v>353</v>
      </c>
      <c r="CD5" s="1816" t="s">
        <v>354</v>
      </c>
      <c r="CE5" s="1790" t="s">
        <v>365</v>
      </c>
      <c r="CF5" s="1790" t="s">
        <v>344</v>
      </c>
      <c r="CG5" s="1790" t="s">
        <v>342</v>
      </c>
      <c r="CH5" s="1790" t="s">
        <v>343</v>
      </c>
      <c r="CI5" s="1864" t="s">
        <v>372</v>
      </c>
      <c r="CJ5" s="1864" t="s">
        <v>373</v>
      </c>
      <c r="CK5" s="1774" t="s">
        <v>598</v>
      </c>
      <c r="CL5" s="1774" t="s">
        <v>599</v>
      </c>
      <c r="CM5" s="1774" t="s">
        <v>600</v>
      </c>
      <c r="CN5" s="1858" t="s">
        <v>480</v>
      </c>
      <c r="CO5" s="1858" t="s">
        <v>473</v>
      </c>
      <c r="CP5" s="1858" t="s">
        <v>479</v>
      </c>
      <c r="CQ5" s="1873" t="s">
        <v>478</v>
      </c>
      <c r="CR5" s="1873" t="s">
        <v>61</v>
      </c>
      <c r="CS5" s="1790" t="s">
        <v>499</v>
      </c>
      <c r="CT5" s="1790" t="s">
        <v>502</v>
      </c>
      <c r="CU5" s="1790" t="s">
        <v>287</v>
      </c>
      <c r="CV5" s="1790" t="s">
        <v>401</v>
      </c>
      <c r="CW5" s="1790" t="s">
        <v>432</v>
      </c>
      <c r="CX5" s="1790" t="s">
        <v>443</v>
      </c>
      <c r="CY5" s="1790" t="s">
        <v>569</v>
      </c>
      <c r="CZ5" s="1790" t="s">
        <v>570</v>
      </c>
      <c r="DA5" s="1790" t="s">
        <v>571</v>
      </c>
      <c r="DB5" s="1762" t="s">
        <v>252</v>
      </c>
      <c r="DC5" s="1762" t="s">
        <v>253</v>
      </c>
      <c r="DD5" s="1762" t="s">
        <v>254</v>
      </c>
      <c r="DE5" s="1781" t="s">
        <v>225</v>
      </c>
      <c r="DF5" s="1781" t="s">
        <v>524</v>
      </c>
      <c r="DG5" s="1790" t="s">
        <v>584</v>
      </c>
      <c r="DH5" s="1774" t="s">
        <v>543</v>
      </c>
      <c r="DI5" s="1774" t="s">
        <v>544</v>
      </c>
      <c r="DJ5" s="1774" t="s">
        <v>581</v>
      </c>
      <c r="DK5" s="1774" t="s">
        <v>635</v>
      </c>
      <c r="DL5" s="1774" t="s">
        <v>638</v>
      </c>
      <c r="DM5" s="1777" t="s">
        <v>709</v>
      </c>
      <c r="DN5" s="1777" t="s">
        <v>710</v>
      </c>
      <c r="DO5" s="1777" t="s">
        <v>711</v>
      </c>
      <c r="DP5" s="1777" t="s">
        <v>712</v>
      </c>
      <c r="DQ5" s="1777" t="s">
        <v>713</v>
      </c>
      <c r="DR5" s="1777" t="s">
        <v>714</v>
      </c>
      <c r="DS5" s="1777" t="s">
        <v>715</v>
      </c>
      <c r="DT5" s="1777" t="s">
        <v>716</v>
      </c>
      <c r="DU5" s="1756" t="s">
        <v>717</v>
      </c>
      <c r="DV5" s="1756" t="s">
        <v>718</v>
      </c>
      <c r="DW5" s="1753" t="s">
        <v>719</v>
      </c>
      <c r="DX5" s="1777" t="s">
        <v>720</v>
      </c>
      <c r="DY5" s="1750" t="s">
        <v>721</v>
      </c>
      <c r="DZ5" s="1753" t="s">
        <v>722</v>
      </c>
      <c r="EA5" s="1750" t="s">
        <v>723</v>
      </c>
      <c r="EB5" s="1784" t="s">
        <v>783</v>
      </c>
      <c r="EC5" s="1784" t="s">
        <v>820</v>
      </c>
      <c r="ED5" s="1784" t="s">
        <v>785</v>
      </c>
      <c r="EE5" s="1784" t="s">
        <v>825</v>
      </c>
      <c r="EF5" s="1784" t="s">
        <v>826</v>
      </c>
      <c r="EG5" s="1750" t="s">
        <v>827</v>
      </c>
      <c r="EH5" s="1750" t="s">
        <v>828</v>
      </c>
      <c r="EI5" s="1750" t="s">
        <v>787</v>
      </c>
      <c r="EJ5" s="1750" t="s">
        <v>788</v>
      </c>
      <c r="EK5" s="1879" t="s">
        <v>876</v>
      </c>
      <c r="EL5" s="1768" t="s">
        <v>894</v>
      </c>
      <c r="EM5" s="1769"/>
      <c r="EN5" s="1770"/>
      <c r="EO5" s="1762" t="s">
        <v>994</v>
      </c>
      <c r="EP5" s="1762" t="s">
        <v>996</v>
      </c>
      <c r="EQ5" s="1762" t="s">
        <v>997</v>
      </c>
      <c r="ER5" s="1762" t="s">
        <v>1002</v>
      </c>
      <c r="ES5" s="1762" t="s">
        <v>1012</v>
      </c>
      <c r="ET5" s="1759" t="s">
        <v>1097</v>
      </c>
      <c r="EU5" s="1759" t="s">
        <v>1098</v>
      </c>
      <c r="EV5" s="1790" t="s">
        <v>1119</v>
      </c>
      <c r="EW5" s="1750" t="s">
        <v>1122</v>
      </c>
      <c r="EX5" s="1867" t="s">
        <v>1161</v>
      </c>
      <c r="EY5" s="1861" t="s">
        <v>1175</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151</v>
      </c>
      <c r="T6" s="1837"/>
      <c r="U6" s="1837"/>
      <c r="V6" s="1837"/>
      <c r="W6" s="1839"/>
      <c r="X6" s="1840"/>
      <c r="Y6" s="1841" t="s">
        <v>46</v>
      </c>
      <c r="Z6" s="1842"/>
      <c r="AA6" s="1842"/>
      <c r="AB6" s="1843"/>
      <c r="AC6" s="1841" t="s">
        <v>47</v>
      </c>
      <c r="AD6" s="1842"/>
      <c r="AE6" s="1842"/>
      <c r="AF6" s="1846"/>
      <c r="AG6" s="1825" t="s">
        <v>85</v>
      </c>
      <c r="AH6" s="1826"/>
      <c r="AI6" s="1826"/>
      <c r="AJ6" s="1827"/>
      <c r="AK6" s="1844" t="s">
        <v>86</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c r="BO6" s="1628"/>
      <c r="BP6" s="1628"/>
      <c r="BQ6" s="1628"/>
      <c r="BR6" s="1628"/>
      <c r="BS6" s="1628"/>
      <c r="BT6" s="1628"/>
      <c r="BU6" s="1628"/>
      <c r="BV6" s="1808"/>
      <c r="BW6" s="1877"/>
      <c r="BX6" s="1877"/>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57"/>
      <c r="DV6" s="1757"/>
      <c r="DW6" s="1754"/>
      <c r="DX6" s="1677"/>
      <c r="DY6" s="1751"/>
      <c r="DZ6" s="1754"/>
      <c r="EA6" s="1751"/>
      <c r="EB6" s="1785"/>
      <c r="EC6" s="1785"/>
      <c r="ED6" s="1785"/>
      <c r="EE6" s="1785"/>
      <c r="EF6" s="1785"/>
      <c r="EG6" s="1751"/>
      <c r="EH6" s="1751"/>
      <c r="EI6" s="1751"/>
      <c r="EJ6" s="1751"/>
      <c r="EK6" s="1880"/>
      <c r="EL6" s="1771"/>
      <c r="EM6" s="1772"/>
      <c r="EN6" s="1773"/>
      <c r="EO6" s="1763"/>
      <c r="EP6" s="1763"/>
      <c r="EQ6" s="1763"/>
      <c r="ER6" s="1763"/>
      <c r="ES6" s="1763"/>
      <c r="ET6" s="1760"/>
      <c r="EU6" s="1760"/>
      <c r="EV6" s="1791"/>
      <c r="EW6" s="1751"/>
      <c r="EX6" s="1868"/>
      <c r="EY6" s="1862"/>
    </row>
    <row r="7" spans="1:155" ht="87" customHeight="1" thickBot="1">
      <c r="A7" s="72" t="s">
        <v>993</v>
      </c>
      <c r="B7" s="1821"/>
      <c r="C7" s="1824"/>
      <c r="D7" s="69" t="s">
        <v>513</v>
      </c>
      <c r="E7" s="70" t="s">
        <v>170</v>
      </c>
      <c r="F7" s="70" t="s">
        <v>169</v>
      </c>
      <c r="G7" s="131" t="s">
        <v>51</v>
      </c>
      <c r="H7" s="132" t="s">
        <v>514</v>
      </c>
      <c r="I7" s="9" t="s">
        <v>486</v>
      </c>
      <c r="J7" s="10" t="s">
        <v>18</v>
      </c>
      <c r="K7" s="10" t="s">
        <v>14</v>
      </c>
      <c r="L7" s="11" t="s">
        <v>24</v>
      </c>
      <c r="M7" s="9" t="s">
        <v>12</v>
      </c>
      <c r="N7" s="10" t="s">
        <v>13</v>
      </c>
      <c r="O7" s="172" t="s">
        <v>281</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131</v>
      </c>
      <c r="BG7" s="106" t="s">
        <v>132</v>
      </c>
      <c r="BH7" s="1795"/>
      <c r="BI7" s="1795"/>
      <c r="BJ7" s="1852"/>
      <c r="BK7" s="1812"/>
      <c r="BL7" s="1812"/>
      <c r="BM7" s="1849"/>
      <c r="BN7" s="1629"/>
      <c r="BO7" s="1629"/>
      <c r="BP7" s="1629"/>
      <c r="BQ7" s="1629"/>
      <c r="BR7" s="1629"/>
      <c r="BS7" s="1629"/>
      <c r="BT7" s="1629"/>
      <c r="BU7" s="1629"/>
      <c r="BV7" s="1809"/>
      <c r="BW7" s="1878"/>
      <c r="BX7" s="1878"/>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58"/>
      <c r="DV7" s="1758"/>
      <c r="DW7" s="1755"/>
      <c r="DX7" s="1678"/>
      <c r="DY7" s="1752"/>
      <c r="DZ7" s="1755"/>
      <c r="EA7" s="1752"/>
      <c r="EB7" s="1786"/>
      <c r="EC7" s="1786"/>
      <c r="ED7" s="1786"/>
      <c r="EE7" s="1786"/>
      <c r="EF7" s="1786"/>
      <c r="EG7" s="1752"/>
      <c r="EH7" s="1752"/>
      <c r="EI7" s="1752"/>
      <c r="EJ7" s="1752"/>
      <c r="EK7" s="1881"/>
      <c r="EL7" s="849" t="s">
        <v>895</v>
      </c>
      <c r="EM7" s="849" t="s">
        <v>129</v>
      </c>
      <c r="EN7" s="849" t="s">
        <v>130</v>
      </c>
      <c r="EO7" s="1764"/>
      <c r="EP7" s="1764"/>
      <c r="EQ7" s="1764"/>
      <c r="ER7" s="1764"/>
      <c r="ES7" s="1764"/>
      <c r="ET7" s="1761"/>
      <c r="EU7" s="1761"/>
      <c r="EV7" s="1792"/>
      <c r="EW7" s="1752"/>
      <c r="EX7" s="1869"/>
      <c r="EY7" s="1863"/>
    </row>
    <row r="8" spans="1:155" ht="14.25" customHeight="1" thickBot="1">
      <c r="A8" s="73" t="s">
        <v>145</v>
      </c>
      <c r="B8" s="151" t="s">
        <v>515</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215</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179</v>
      </c>
      <c r="BB8" s="53" t="s">
        <v>190</v>
      </c>
      <c r="BC8" s="53" t="s">
        <v>275</v>
      </c>
      <c r="BD8" s="53" t="s">
        <v>199</v>
      </c>
      <c r="BE8" s="53" t="s">
        <v>213</v>
      </c>
      <c r="BF8" s="53" t="s">
        <v>214</v>
      </c>
      <c r="BG8" s="53" t="s">
        <v>270</v>
      </c>
      <c r="BH8" s="53" t="s">
        <v>271</v>
      </c>
      <c r="BI8" s="53" t="s">
        <v>278</v>
      </c>
      <c r="BJ8" s="53" t="s">
        <v>294</v>
      </c>
      <c r="BK8" s="53" t="s">
        <v>299</v>
      </c>
      <c r="BL8" s="53" t="s">
        <v>300</v>
      </c>
      <c r="BM8" s="53"/>
      <c r="BN8" s="53"/>
      <c r="BO8" s="53"/>
      <c r="BP8" s="53"/>
      <c r="BQ8" s="53"/>
      <c r="BR8" s="53"/>
      <c r="BS8" s="53"/>
      <c r="BT8" s="53"/>
      <c r="BU8" s="53"/>
      <c r="BV8" s="53" t="s">
        <v>356</v>
      </c>
      <c r="BW8" s="53" t="s">
        <v>357</v>
      </c>
      <c r="BX8" s="53" t="s">
        <v>362</v>
      </c>
      <c r="BY8" s="53" t="s">
        <v>364</v>
      </c>
      <c r="BZ8" s="53" t="s">
        <v>374</v>
      </c>
      <c r="CA8" s="53" t="s">
        <v>375</v>
      </c>
      <c r="CB8" s="53" t="s">
        <v>459</v>
      </c>
      <c r="CC8" s="53" t="s">
        <v>462</v>
      </c>
      <c r="CD8" s="53" t="s">
        <v>464</v>
      </c>
      <c r="CE8" s="53" t="s">
        <v>474</v>
      </c>
      <c r="CF8" s="53" t="s">
        <v>475</v>
      </c>
      <c r="CG8" s="53" t="s">
        <v>476</v>
      </c>
      <c r="CH8" s="53" t="s">
        <v>477</v>
      </c>
      <c r="CI8" s="53" t="s">
        <v>501</v>
      </c>
      <c r="CJ8" s="53" t="s">
        <v>503</v>
      </c>
      <c r="CK8" s="53" t="s">
        <v>288</v>
      </c>
      <c r="CL8" s="53" t="s">
        <v>408</v>
      </c>
      <c r="CM8" s="53" t="s">
        <v>413</v>
      </c>
      <c r="CN8" s="53"/>
      <c r="CO8" s="53"/>
      <c r="CP8" s="53"/>
      <c r="CQ8" s="53" t="s">
        <v>452</v>
      </c>
      <c r="CR8" s="53" t="s">
        <v>453</v>
      </c>
      <c r="CS8" s="53" t="s">
        <v>224</v>
      </c>
      <c r="CT8" s="53" t="s">
        <v>243</v>
      </c>
      <c r="CU8" s="53" t="s">
        <v>244</v>
      </c>
      <c r="CV8" s="53" t="s">
        <v>245</v>
      </c>
      <c r="CW8" s="53" t="s">
        <v>246</v>
      </c>
      <c r="CX8" s="53" t="s">
        <v>247</v>
      </c>
      <c r="CY8" s="53" t="s">
        <v>248</v>
      </c>
      <c r="CZ8" s="53" t="s">
        <v>249</v>
      </c>
      <c r="DA8" s="53" t="s">
        <v>250</v>
      </c>
      <c r="DB8" s="53" t="s">
        <v>251</v>
      </c>
      <c r="DC8" s="53" t="s">
        <v>255</v>
      </c>
      <c r="DD8" s="53" t="s">
        <v>256</v>
      </c>
      <c r="DE8" s="53" t="s">
        <v>525</v>
      </c>
      <c r="DF8" s="53" t="s">
        <v>62</v>
      </c>
      <c r="DG8" s="53">
        <v>111</v>
      </c>
      <c r="DH8" s="53" t="s">
        <v>595</v>
      </c>
      <c r="DI8" s="53" t="s">
        <v>596</v>
      </c>
      <c r="DJ8" s="532" t="s">
        <v>597</v>
      </c>
      <c r="DK8" s="532" t="s">
        <v>636</v>
      </c>
      <c r="DL8" s="532" t="s">
        <v>637</v>
      </c>
      <c r="DM8" s="532" t="s">
        <v>724</v>
      </c>
      <c r="DN8" s="532" t="s">
        <v>725</v>
      </c>
      <c r="DO8" s="532" t="s">
        <v>726</v>
      </c>
      <c r="DP8" s="532" t="s">
        <v>727</v>
      </c>
      <c r="DQ8" s="532" t="s">
        <v>728</v>
      </c>
      <c r="DR8" s="532" t="s">
        <v>729</v>
      </c>
      <c r="DS8" s="532" t="s">
        <v>730</v>
      </c>
      <c r="DT8" s="532" t="s">
        <v>731</v>
      </c>
      <c r="DU8" s="532" t="s">
        <v>732</v>
      </c>
      <c r="DV8" s="532" t="s">
        <v>733</v>
      </c>
      <c r="DW8" s="532" t="s">
        <v>734</v>
      </c>
      <c r="DX8" s="532" t="s">
        <v>735</v>
      </c>
      <c r="DY8" s="532" t="s">
        <v>736</v>
      </c>
      <c r="DZ8" s="532" t="s">
        <v>737</v>
      </c>
      <c r="EA8" s="532" t="s">
        <v>738</v>
      </c>
      <c r="EB8" s="532" t="s">
        <v>795</v>
      </c>
      <c r="EC8" s="532" t="s">
        <v>796</v>
      </c>
      <c r="ED8" s="532" t="s">
        <v>797</v>
      </c>
      <c r="EE8" s="532" t="s">
        <v>798</v>
      </c>
      <c r="EF8" s="532" t="s">
        <v>799</v>
      </c>
      <c r="EG8" s="532" t="s">
        <v>800</v>
      </c>
      <c r="EH8" s="532" t="s">
        <v>801</v>
      </c>
      <c r="EI8" s="532" t="s">
        <v>802</v>
      </c>
      <c r="EJ8" s="532" t="s">
        <v>803</v>
      </c>
      <c r="EK8" s="532" t="s">
        <v>877</v>
      </c>
      <c r="EL8" s="532" t="s">
        <v>896</v>
      </c>
      <c r="EM8" s="532" t="s">
        <v>897</v>
      </c>
      <c r="EN8" s="532" t="s">
        <v>898</v>
      </c>
      <c r="EO8" s="53" t="s">
        <v>995</v>
      </c>
      <c r="EP8" s="53" t="s">
        <v>1000</v>
      </c>
      <c r="EQ8" s="53" t="s">
        <v>1001</v>
      </c>
      <c r="ER8" s="532">
        <v>148</v>
      </c>
      <c r="ES8" s="532" t="s">
        <v>1013</v>
      </c>
      <c r="ET8" s="1519" t="s">
        <v>1099</v>
      </c>
      <c r="EU8" s="1519" t="s">
        <v>1100</v>
      </c>
      <c r="EV8" s="1519" t="s">
        <v>1108</v>
      </c>
      <c r="EW8" s="532" t="s">
        <v>1121</v>
      </c>
      <c r="EX8" s="532" t="s">
        <v>1160</v>
      </c>
      <c r="EY8" s="532" t="s">
        <v>1174</v>
      </c>
    </row>
    <row r="9" spans="1:155" s="788" customFormat="1" ht="14.25" customHeight="1">
      <c r="A9" s="823" t="s">
        <v>72</v>
      </c>
      <c r="B9" s="770" t="s">
        <v>515</v>
      </c>
      <c r="C9" s="771" t="s">
        <v>8</v>
      </c>
      <c r="D9" s="772" t="s">
        <v>25</v>
      </c>
      <c r="E9" s="770" t="s">
        <v>26</v>
      </c>
      <c r="F9" s="770">
        <v>32</v>
      </c>
      <c r="G9" s="773"/>
      <c r="H9" s="824" t="s">
        <v>316</v>
      </c>
      <c r="I9" s="825" t="s">
        <v>1164</v>
      </c>
      <c r="J9" s="775" t="s">
        <v>1166</v>
      </c>
      <c r="K9" s="775" t="s">
        <v>1168</v>
      </c>
      <c r="L9" s="775" t="s">
        <v>1170</v>
      </c>
      <c r="M9" s="775" t="s">
        <v>1172</v>
      </c>
      <c r="N9" s="775" t="s">
        <v>1173</v>
      </c>
      <c r="O9" s="775" t="s">
        <v>417</v>
      </c>
      <c r="P9" s="775" t="s">
        <v>481</v>
      </c>
      <c r="Q9" s="775" t="s">
        <v>482</v>
      </c>
      <c r="R9" s="775" t="s">
        <v>483</v>
      </c>
      <c r="S9" s="775"/>
      <c r="T9" s="775"/>
      <c r="U9" s="775"/>
      <c r="V9" s="775"/>
      <c r="W9" s="775"/>
      <c r="X9" s="826"/>
      <c r="Y9" s="827" t="s">
        <v>262</v>
      </c>
      <c r="Z9" s="775" t="s">
        <v>484</v>
      </c>
      <c r="AA9" s="775" t="s">
        <v>204</v>
      </c>
      <c r="AB9" s="775" t="s">
        <v>205</v>
      </c>
      <c r="AC9" s="775"/>
      <c r="AD9" s="775"/>
      <c r="AE9" s="775"/>
      <c r="AF9" s="826"/>
      <c r="AG9" s="827"/>
      <c r="AH9" s="775"/>
      <c r="AI9" s="775"/>
      <c r="AJ9" s="828"/>
      <c r="AK9" s="825"/>
      <c r="AL9" s="775"/>
      <c r="AM9" s="775"/>
      <c r="AN9" s="826"/>
      <c r="AO9" s="829"/>
      <c r="AP9" s="829"/>
      <c r="AQ9" s="829"/>
      <c r="AR9" s="830"/>
      <c r="AS9" s="831" t="s">
        <v>1071</v>
      </c>
      <c r="AT9" s="832"/>
      <c r="AU9" s="831" t="s">
        <v>1082</v>
      </c>
      <c r="AV9" s="832"/>
      <c r="AW9" s="831" t="s">
        <v>1084</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658</v>
      </c>
      <c r="BW9" s="530" t="s">
        <v>385</v>
      </c>
      <c r="BX9" s="530" t="s">
        <v>386</v>
      </c>
      <c r="BY9" s="530" t="s">
        <v>1139</v>
      </c>
      <c r="BZ9" s="530" t="s">
        <v>640</v>
      </c>
      <c r="CA9" s="530" t="s">
        <v>529</v>
      </c>
      <c r="CB9" s="530" t="s">
        <v>530</v>
      </c>
      <c r="CC9" s="530" t="s">
        <v>531</v>
      </c>
      <c r="CD9" s="530" t="s">
        <v>532</v>
      </c>
      <c r="CE9" s="530"/>
      <c r="CF9" s="530"/>
      <c r="CG9" s="530"/>
      <c r="CH9" s="530"/>
      <c r="CI9" s="530" t="s">
        <v>674</v>
      </c>
      <c r="CJ9" s="530" t="s">
        <v>533</v>
      </c>
      <c r="CK9" s="530" t="s">
        <v>652</v>
      </c>
      <c r="CL9" s="530" t="s">
        <v>654</v>
      </c>
      <c r="CM9" s="530" t="s">
        <v>656</v>
      </c>
      <c r="CN9" s="530">
        <v>1088</v>
      </c>
      <c r="CO9" s="530">
        <v>720</v>
      </c>
      <c r="CP9" s="530">
        <v>1088</v>
      </c>
      <c r="CQ9" s="836" t="s">
        <v>1148</v>
      </c>
      <c r="CR9" s="836" t="s">
        <v>641</v>
      </c>
      <c r="CS9" s="530"/>
      <c r="CT9" s="530"/>
      <c r="CU9" s="530"/>
      <c r="CV9" s="530" t="s">
        <v>663</v>
      </c>
      <c r="CW9" s="530" t="s">
        <v>528</v>
      </c>
      <c r="CX9" s="530" t="s">
        <v>450</v>
      </c>
      <c r="CY9" s="530" t="s">
        <v>572</v>
      </c>
      <c r="CZ9" s="530" t="s">
        <v>573</v>
      </c>
      <c r="DA9" s="530" t="s">
        <v>574</v>
      </c>
      <c r="DB9" s="831" t="s">
        <v>1072</v>
      </c>
      <c r="DC9" s="831" t="s">
        <v>1073</v>
      </c>
      <c r="DD9" s="530"/>
      <c r="DE9" s="530" t="s">
        <v>307</v>
      </c>
      <c r="DF9" s="530"/>
      <c r="DG9" s="530" t="s">
        <v>585</v>
      </c>
      <c r="DH9" s="530" t="s">
        <v>660</v>
      </c>
      <c r="DI9" s="530" t="s">
        <v>661</v>
      </c>
      <c r="DJ9" s="530" t="s">
        <v>662</v>
      </c>
      <c r="DK9" s="530"/>
      <c r="DL9" s="530"/>
      <c r="DM9" s="530"/>
      <c r="DN9" s="530"/>
      <c r="DO9" s="530"/>
      <c r="DP9" s="530"/>
      <c r="DQ9" s="530"/>
      <c r="DR9" s="530"/>
      <c r="DS9" s="530"/>
      <c r="DT9" s="530"/>
      <c r="DU9" s="530" t="s">
        <v>883</v>
      </c>
      <c r="DV9" s="530" t="s">
        <v>878</v>
      </c>
      <c r="DW9" s="530" t="s">
        <v>879</v>
      </c>
      <c r="DX9" s="530" t="s">
        <v>880</v>
      </c>
      <c r="DY9" s="530" t="s">
        <v>881</v>
      </c>
      <c r="DZ9" s="530"/>
      <c r="EA9" s="530"/>
      <c r="EB9" s="530"/>
      <c r="EC9" s="530"/>
      <c r="ED9" s="530"/>
      <c r="EE9" s="530"/>
      <c r="EF9" s="530"/>
      <c r="EG9" s="530"/>
      <c r="EH9" s="530"/>
      <c r="EI9" s="530"/>
      <c r="EJ9" s="530"/>
      <c r="EK9" s="530"/>
      <c r="EL9" s="836" t="s">
        <v>1064</v>
      </c>
      <c r="EM9" s="836" t="s">
        <v>1065</v>
      </c>
      <c r="EN9" s="530" t="s">
        <v>1063</v>
      </c>
      <c r="EO9" s="1318" t="s">
        <v>1134</v>
      </c>
      <c r="EP9" s="1318" t="s">
        <v>1155</v>
      </c>
      <c r="EQ9" s="1318" t="s">
        <v>1156</v>
      </c>
      <c r="ER9" s="1337">
        <v>1200</v>
      </c>
      <c r="ES9" s="1331"/>
      <c r="ET9" s="1520"/>
      <c r="EU9" s="1520"/>
      <c r="EV9" s="530" t="s">
        <v>1111</v>
      </c>
      <c r="EW9" s="530"/>
      <c r="EX9" s="530"/>
      <c r="EY9" s="530"/>
    </row>
    <row r="10" spans="1:155" ht="14.25" customHeight="1">
      <c r="A10" s="147" t="s">
        <v>184</v>
      </c>
      <c r="B10" s="21" t="s">
        <v>515</v>
      </c>
      <c r="C10" s="22" t="s">
        <v>8</v>
      </c>
      <c r="D10" s="23" t="s">
        <v>114</v>
      </c>
      <c r="E10" s="21" t="s">
        <v>114</v>
      </c>
      <c r="F10" s="21" t="s">
        <v>179</v>
      </c>
      <c r="G10" s="6"/>
      <c r="H10" s="146"/>
      <c r="I10" s="193" t="s">
        <v>690</v>
      </c>
      <c r="J10" s="194" t="s">
        <v>688</v>
      </c>
      <c r="K10" s="194" t="s">
        <v>689</v>
      </c>
      <c r="L10" s="194" t="s">
        <v>694</v>
      </c>
      <c r="M10" s="60" t="s">
        <v>681</v>
      </c>
      <c r="N10" s="60" t="s">
        <v>180</v>
      </c>
      <c r="O10" s="60" t="s">
        <v>285</v>
      </c>
      <c r="P10" s="60" t="s">
        <v>181</v>
      </c>
      <c r="Q10" s="60" t="s">
        <v>182</v>
      </c>
      <c r="R10" s="60" t="s">
        <v>183</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1020</v>
      </c>
      <c r="AT10" s="66"/>
      <c r="AU10" s="161" t="s">
        <v>1021</v>
      </c>
      <c r="AV10" s="66"/>
      <c r="AW10" s="161" t="s">
        <v>1022</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392</v>
      </c>
      <c r="BW10" s="167" t="s">
        <v>455</v>
      </c>
      <c r="BX10" s="167" t="s">
        <v>456</v>
      </c>
      <c r="BY10" s="167" t="s">
        <v>1023</v>
      </c>
      <c r="BZ10" s="167"/>
      <c r="CA10" s="167"/>
      <c r="CB10" s="167"/>
      <c r="CC10" s="167"/>
      <c r="CD10" s="167"/>
      <c r="CE10" s="167"/>
      <c r="CF10" s="167"/>
      <c r="CG10" s="167"/>
      <c r="CH10" s="167"/>
      <c r="CI10" s="167" t="s">
        <v>676</v>
      </c>
      <c r="CJ10" s="167" t="s">
        <v>382</v>
      </c>
      <c r="CK10" s="167" t="s">
        <v>602</v>
      </c>
      <c r="CL10" s="167" t="s">
        <v>603</v>
      </c>
      <c r="CM10" s="167" t="s">
        <v>604</v>
      </c>
      <c r="CN10" s="167">
        <v>1175</v>
      </c>
      <c r="CO10" s="167">
        <v>0</v>
      </c>
      <c r="CP10" s="315" t="s">
        <v>535</v>
      </c>
      <c r="CQ10" s="167" t="s">
        <v>1024</v>
      </c>
      <c r="CR10" s="167"/>
      <c r="CS10" s="167"/>
      <c r="CT10" s="169"/>
      <c r="CU10" s="169"/>
      <c r="CV10" s="169" t="s">
        <v>403</v>
      </c>
      <c r="CW10" s="169" t="s">
        <v>442</v>
      </c>
      <c r="CX10" s="169" t="s">
        <v>445</v>
      </c>
      <c r="CY10" s="169" t="s">
        <v>677</v>
      </c>
      <c r="CZ10" s="169" t="s">
        <v>678</v>
      </c>
      <c r="DA10" s="169" t="s">
        <v>679</v>
      </c>
      <c r="DB10" s="355" t="s">
        <v>691</v>
      </c>
      <c r="DC10" s="354"/>
      <c r="DD10" s="169"/>
      <c r="DE10" s="169" t="s">
        <v>308</v>
      </c>
      <c r="DF10" s="169"/>
      <c r="DG10" s="169" t="s">
        <v>680</v>
      </c>
      <c r="DH10" s="167" t="s">
        <v>550</v>
      </c>
      <c r="DI10" s="167" t="s">
        <v>548</v>
      </c>
      <c r="DJ10" s="167" t="s">
        <v>549</v>
      </c>
      <c r="DK10" s="167"/>
      <c r="DL10" s="167"/>
      <c r="DM10" s="315"/>
      <c r="DN10" s="315"/>
      <c r="DO10" s="315"/>
      <c r="DP10" s="315"/>
      <c r="DQ10" s="315"/>
      <c r="DR10" s="315"/>
      <c r="DS10" s="315"/>
      <c r="DT10" s="315"/>
      <c r="DU10" s="168" t="s">
        <v>805</v>
      </c>
      <c r="DV10" s="315" t="s">
        <v>932</v>
      </c>
      <c r="DW10" s="315" t="s">
        <v>929</v>
      </c>
      <c r="DX10" s="315" t="s">
        <v>930</v>
      </c>
      <c r="DY10" s="315" t="s">
        <v>931</v>
      </c>
      <c r="DZ10" s="315"/>
      <c r="EA10" s="315"/>
      <c r="EB10" s="315"/>
      <c r="EC10" s="315"/>
      <c r="ED10" s="315"/>
      <c r="EE10" s="315"/>
      <c r="EF10" s="315"/>
      <c r="EG10" s="315"/>
      <c r="EH10" s="315"/>
      <c r="EI10" s="315"/>
      <c r="EJ10" s="315"/>
      <c r="EK10" s="315"/>
      <c r="EL10" s="315"/>
      <c r="EM10" s="315"/>
      <c r="EN10" s="315"/>
      <c r="EO10" s="355" t="s">
        <v>1035</v>
      </c>
      <c r="EP10" s="355" t="s">
        <v>1036</v>
      </c>
      <c r="EQ10" s="355" t="s">
        <v>1037</v>
      </c>
      <c r="ER10" s="1338">
        <v>1600</v>
      </c>
      <c r="ES10" s="380"/>
      <c r="ET10" s="1520"/>
      <c r="EU10" s="1520"/>
      <c r="EV10" s="530" t="s">
        <v>1113</v>
      </c>
      <c r="EW10" s="315"/>
      <c r="EX10" s="315"/>
      <c r="EY10" s="315"/>
    </row>
    <row r="11" spans="1:155" s="788" customFormat="1" ht="14.25" customHeight="1" thickBot="1">
      <c r="A11" s="823" t="s">
        <v>516</v>
      </c>
      <c r="B11" s="770" t="s">
        <v>515</v>
      </c>
      <c r="C11" s="771" t="s">
        <v>8</v>
      </c>
      <c r="D11" s="772" t="s">
        <v>25</v>
      </c>
      <c r="E11" s="770" t="s">
        <v>78</v>
      </c>
      <c r="F11" s="770">
        <v>32</v>
      </c>
      <c r="G11" s="773"/>
      <c r="H11" s="789" t="s">
        <v>52</v>
      </c>
      <c r="I11" s="351" t="s">
        <v>1079</v>
      </c>
      <c r="J11" s="350" t="s">
        <v>1074</v>
      </c>
      <c r="K11" s="350" t="s">
        <v>1141</v>
      </c>
      <c r="L11" s="350" t="s">
        <v>1085</v>
      </c>
      <c r="M11" s="350" t="s">
        <v>649</v>
      </c>
      <c r="N11" s="350" t="s">
        <v>56</v>
      </c>
      <c r="O11" s="775" t="s">
        <v>282</v>
      </c>
      <c r="P11" s="350" t="s">
        <v>57</v>
      </c>
      <c r="Q11" s="350" t="s">
        <v>58</v>
      </c>
      <c r="R11" s="350" t="s">
        <v>125</v>
      </c>
      <c r="S11" s="350"/>
      <c r="T11" s="350"/>
      <c r="U11" s="350"/>
      <c r="V11" s="350"/>
      <c r="W11" s="350"/>
      <c r="X11" s="776"/>
      <c r="Y11" s="827" t="s">
        <v>262</v>
      </c>
      <c r="Z11" s="775" t="s">
        <v>484</v>
      </c>
      <c r="AA11" s="775" t="s">
        <v>204</v>
      </c>
      <c r="AB11" s="775" t="s">
        <v>205</v>
      </c>
      <c r="AC11" s="350"/>
      <c r="AD11" s="350"/>
      <c r="AE11" s="350"/>
      <c r="AF11" s="776"/>
      <c r="AG11" s="777"/>
      <c r="AH11" s="350"/>
      <c r="AI11" s="350"/>
      <c r="AJ11" s="778"/>
      <c r="AK11" s="351"/>
      <c r="AL11" s="350"/>
      <c r="AM11" s="350"/>
      <c r="AN11" s="776"/>
      <c r="AO11" s="779"/>
      <c r="AP11" s="779"/>
      <c r="AQ11" s="779"/>
      <c r="AR11" s="829"/>
      <c r="AS11" s="777" t="s">
        <v>1075</v>
      </c>
      <c r="AT11" s="778"/>
      <c r="AU11" s="777" t="s">
        <v>1083</v>
      </c>
      <c r="AV11" s="778"/>
      <c r="AW11" s="777" t="s">
        <v>1086</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657</v>
      </c>
      <c r="BW11" s="530" t="s">
        <v>327</v>
      </c>
      <c r="BX11" s="530" t="s">
        <v>328</v>
      </c>
      <c r="BY11" s="790" t="s">
        <v>1150</v>
      </c>
      <c r="BZ11" s="530" t="s">
        <v>992</v>
      </c>
      <c r="CA11" s="530" t="s">
        <v>363</v>
      </c>
      <c r="CB11" s="530" t="s">
        <v>358</v>
      </c>
      <c r="CC11" s="530" t="s">
        <v>359</v>
      </c>
      <c r="CD11" s="530" t="s">
        <v>360</v>
      </c>
      <c r="CE11" s="790"/>
      <c r="CF11" s="790"/>
      <c r="CG11" s="790"/>
      <c r="CH11" s="790"/>
      <c r="CI11" s="790" t="s">
        <v>642</v>
      </c>
      <c r="CJ11" s="790" t="s">
        <v>376</v>
      </c>
      <c r="CK11" s="530" t="s">
        <v>651</v>
      </c>
      <c r="CL11" s="530" t="s">
        <v>653</v>
      </c>
      <c r="CM11" s="530" t="s">
        <v>655</v>
      </c>
      <c r="CN11" s="530">
        <v>1088</v>
      </c>
      <c r="CO11" s="790">
        <v>1000</v>
      </c>
      <c r="CP11" s="530">
        <v>1088</v>
      </c>
      <c r="CQ11" s="530" t="s">
        <v>1152</v>
      </c>
      <c r="CR11" s="530" t="s">
        <v>1151</v>
      </c>
      <c r="CS11" s="790"/>
      <c r="CT11" s="530"/>
      <c r="CU11" s="530"/>
      <c r="CV11" s="530" t="s">
        <v>663</v>
      </c>
      <c r="CW11" s="530" t="s">
        <v>435</v>
      </c>
      <c r="CX11" s="530" t="s">
        <v>450</v>
      </c>
      <c r="CY11" s="530" t="s">
        <v>572</v>
      </c>
      <c r="CZ11" s="530" t="s">
        <v>573</v>
      </c>
      <c r="DA11" s="530" t="s">
        <v>574</v>
      </c>
      <c r="DB11" s="363" t="s">
        <v>1076</v>
      </c>
      <c r="DC11" s="363" t="s">
        <v>1077</v>
      </c>
      <c r="DD11" s="530"/>
      <c r="DE11" s="530" t="s">
        <v>309</v>
      </c>
      <c r="DF11" s="530"/>
      <c r="DG11" s="530" t="s">
        <v>585</v>
      </c>
      <c r="DH11" s="530" t="s">
        <v>660</v>
      </c>
      <c r="DI11" s="530" t="s">
        <v>661</v>
      </c>
      <c r="DJ11" s="530" t="s">
        <v>662</v>
      </c>
      <c r="DK11" s="530"/>
      <c r="DL11" s="530"/>
      <c r="DM11" s="836"/>
      <c r="DN11" s="836"/>
      <c r="DO11" s="836"/>
      <c r="DP11" s="836"/>
      <c r="DQ11" s="836"/>
      <c r="DR11" s="836"/>
      <c r="DS11" s="836"/>
      <c r="DT11" s="836"/>
      <c r="DU11" s="836" t="s">
        <v>883</v>
      </c>
      <c r="DV11" s="836" t="s">
        <v>878</v>
      </c>
      <c r="DW11" s="836" t="s">
        <v>879</v>
      </c>
      <c r="DX11" s="836" t="s">
        <v>880</v>
      </c>
      <c r="DY11" s="836" t="s">
        <v>881</v>
      </c>
      <c r="DZ11" s="836"/>
      <c r="EA11" s="836"/>
      <c r="EB11" s="836"/>
      <c r="EC11" s="836"/>
      <c r="ED11" s="836"/>
      <c r="EE11" s="836"/>
      <c r="EF11" s="836"/>
      <c r="EG11" s="836"/>
      <c r="EH11" s="836"/>
      <c r="EI11" s="836"/>
      <c r="EJ11" s="836"/>
      <c r="EK11" s="836"/>
      <c r="EL11" s="836"/>
      <c r="EM11" s="836"/>
      <c r="EN11" s="836"/>
      <c r="EO11" s="1364" t="s">
        <v>1137</v>
      </c>
      <c r="EP11" s="1364" t="s">
        <v>1153</v>
      </c>
      <c r="EQ11" s="1364" t="s">
        <v>1154</v>
      </c>
      <c r="ER11" s="1339">
        <v>1323</v>
      </c>
      <c r="ES11" s="1332"/>
      <c r="ET11" s="1520"/>
      <c r="EU11" s="1520"/>
      <c r="EV11" s="530" t="s">
        <v>1110</v>
      </c>
      <c r="EW11" s="836"/>
      <c r="EX11" s="836"/>
      <c r="EY11" s="836"/>
    </row>
    <row r="12" spans="1:155" s="788" customFormat="1" ht="14.25" customHeight="1">
      <c r="A12" s="823" t="s">
        <v>517</v>
      </c>
      <c r="B12" s="770" t="s">
        <v>515</v>
      </c>
      <c r="C12" s="771" t="s">
        <v>8</v>
      </c>
      <c r="D12" s="772" t="s">
        <v>25</v>
      </c>
      <c r="E12" s="770" t="s">
        <v>25</v>
      </c>
      <c r="F12" s="770">
        <v>31</v>
      </c>
      <c r="G12" s="773"/>
      <c r="H12" s="839"/>
      <c r="I12" s="351" t="s">
        <v>1165</v>
      </c>
      <c r="J12" s="350" t="s">
        <v>1167</v>
      </c>
      <c r="K12" s="350" t="s">
        <v>1169</v>
      </c>
      <c r="L12" s="350" t="s">
        <v>1171</v>
      </c>
      <c r="M12" s="350" t="s">
        <v>1163</v>
      </c>
      <c r="N12" s="350" t="s">
        <v>56</v>
      </c>
      <c r="O12" s="775" t="s">
        <v>282</v>
      </c>
      <c r="P12" s="350" t="s">
        <v>492</v>
      </c>
      <c r="Q12" s="350" t="s">
        <v>493</v>
      </c>
      <c r="R12" s="350" t="s">
        <v>494</v>
      </c>
      <c r="S12" s="350"/>
      <c r="T12" s="350"/>
      <c r="U12" s="350"/>
      <c r="V12" s="350"/>
      <c r="W12" s="350"/>
      <c r="X12" s="776"/>
      <c r="Y12" s="827" t="s">
        <v>262</v>
      </c>
      <c r="Z12" s="775" t="s">
        <v>484</v>
      </c>
      <c r="AA12" s="775" t="s">
        <v>204</v>
      </c>
      <c r="AB12" s="775" t="s">
        <v>205</v>
      </c>
      <c r="AC12" s="350"/>
      <c r="AD12" s="350"/>
      <c r="AE12" s="350"/>
      <c r="AF12" s="776"/>
      <c r="AG12" s="777"/>
      <c r="AH12" s="350"/>
      <c r="AI12" s="350"/>
      <c r="AJ12" s="778"/>
      <c r="AK12" s="351"/>
      <c r="AL12" s="350"/>
      <c r="AM12" s="350"/>
      <c r="AN12" s="776"/>
      <c r="AO12" s="779"/>
      <c r="AP12" s="779"/>
      <c r="AQ12" s="779"/>
      <c r="AR12" s="829"/>
      <c r="AS12" s="777" t="s">
        <v>1089</v>
      </c>
      <c r="AT12" s="778"/>
      <c r="AU12" s="777" t="s">
        <v>1080</v>
      </c>
      <c r="AV12" s="778"/>
      <c r="AW12" s="777" t="s">
        <v>1087</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659</v>
      </c>
      <c r="BW12" s="530" t="s">
        <v>495</v>
      </c>
      <c r="BX12" s="530" t="s">
        <v>496</v>
      </c>
      <c r="BY12" s="790" t="s">
        <v>1138</v>
      </c>
      <c r="BZ12" s="530"/>
      <c r="CA12" s="530" t="s">
        <v>363</v>
      </c>
      <c r="CB12" s="530" t="s">
        <v>358</v>
      </c>
      <c r="CC12" s="530" t="s">
        <v>359</v>
      </c>
      <c r="CD12" s="530" t="s">
        <v>360</v>
      </c>
      <c r="CE12" s="790"/>
      <c r="CF12" s="790"/>
      <c r="CG12" s="790"/>
      <c r="CH12" s="790"/>
      <c r="CI12" s="790" t="s">
        <v>642</v>
      </c>
      <c r="CJ12" s="790" t="s">
        <v>376</v>
      </c>
      <c r="CK12" s="530" t="s">
        <v>652</v>
      </c>
      <c r="CL12" s="530" t="s">
        <v>654</v>
      </c>
      <c r="CM12" s="530" t="s">
        <v>656</v>
      </c>
      <c r="CN12" s="836" t="s">
        <v>431</v>
      </c>
      <c r="CO12" s="790">
        <v>2880</v>
      </c>
      <c r="CP12" s="836" t="s">
        <v>389</v>
      </c>
      <c r="CQ12" s="836" t="s">
        <v>1149</v>
      </c>
      <c r="CR12" s="836"/>
      <c r="CS12" s="790"/>
      <c r="CT12" s="530"/>
      <c r="CU12" s="530"/>
      <c r="CV12" s="530" t="s">
        <v>663</v>
      </c>
      <c r="CW12" s="530" t="s">
        <v>435</v>
      </c>
      <c r="CX12" s="530" t="s">
        <v>450</v>
      </c>
      <c r="CY12" s="530" t="s">
        <v>572</v>
      </c>
      <c r="CZ12" s="530" t="s">
        <v>573</v>
      </c>
      <c r="DA12" s="530" t="s">
        <v>574</v>
      </c>
      <c r="DB12" s="831" t="s">
        <v>1090</v>
      </c>
      <c r="DC12" s="831" t="s">
        <v>1091</v>
      </c>
      <c r="DD12" s="530"/>
      <c r="DE12" s="530" t="s">
        <v>310</v>
      </c>
      <c r="DF12" s="530"/>
      <c r="DG12" s="530" t="s">
        <v>585</v>
      </c>
      <c r="DH12" s="530" t="s">
        <v>660</v>
      </c>
      <c r="DI12" s="530" t="s">
        <v>661</v>
      </c>
      <c r="DJ12" s="530" t="s">
        <v>662</v>
      </c>
      <c r="DK12" s="530"/>
      <c r="DL12" s="530"/>
      <c r="DM12" s="836"/>
      <c r="DN12" s="836"/>
      <c r="DO12" s="836"/>
      <c r="DP12" s="836"/>
      <c r="DQ12" s="836"/>
      <c r="DR12" s="836"/>
      <c r="DS12" s="836"/>
      <c r="DT12" s="836"/>
      <c r="DU12" s="836" t="s">
        <v>883</v>
      </c>
      <c r="DV12" s="836" t="s">
        <v>878</v>
      </c>
      <c r="DW12" s="836" t="s">
        <v>879</v>
      </c>
      <c r="DX12" s="836" t="s">
        <v>880</v>
      </c>
      <c r="DY12" s="836" t="s">
        <v>881</v>
      </c>
      <c r="DZ12" s="836"/>
      <c r="EA12" s="836"/>
      <c r="EB12" s="836"/>
      <c r="EC12" s="836"/>
      <c r="ED12" s="836"/>
      <c r="EE12" s="836"/>
      <c r="EF12" s="836"/>
      <c r="EG12" s="836"/>
      <c r="EH12" s="836"/>
      <c r="EI12" s="836"/>
      <c r="EJ12" s="836"/>
      <c r="EK12" s="836"/>
      <c r="EL12" s="836" t="s">
        <v>1064</v>
      </c>
      <c r="EM12" s="836" t="s">
        <v>1065</v>
      </c>
      <c r="EN12" s="530" t="s">
        <v>1063</v>
      </c>
      <c r="EO12" s="1318" t="s">
        <v>1136</v>
      </c>
      <c r="EP12" s="1318" t="s">
        <v>1157</v>
      </c>
      <c r="EQ12" s="1318" t="s">
        <v>1158</v>
      </c>
      <c r="ER12" s="1337">
        <v>680</v>
      </c>
      <c r="ES12" s="1333"/>
      <c r="ET12" s="1520"/>
      <c r="EU12" s="1520"/>
      <c r="EV12" s="530" t="s">
        <v>1110</v>
      </c>
      <c r="EW12" s="836"/>
      <c r="EX12" s="836"/>
      <c r="EY12" s="836"/>
    </row>
    <row r="13" spans="1:155" ht="14.25" customHeight="1">
      <c r="A13" s="20" t="s">
        <v>142</v>
      </c>
      <c r="B13" s="21" t="s">
        <v>515</v>
      </c>
      <c r="C13" s="22" t="s">
        <v>8</v>
      </c>
      <c r="D13" s="23" t="s">
        <v>28</v>
      </c>
      <c r="E13" s="21" t="s">
        <v>28</v>
      </c>
      <c r="F13" s="21" t="s">
        <v>104</v>
      </c>
      <c r="G13" s="6"/>
      <c r="H13" s="29"/>
      <c r="I13" s="25" t="s">
        <v>138</v>
      </c>
      <c r="J13" s="26" t="s">
        <v>139</v>
      </c>
      <c r="K13" s="26" t="s">
        <v>140</v>
      </c>
      <c r="L13" s="26" t="s">
        <v>141</v>
      </c>
      <c r="M13" s="26" t="s">
        <v>137</v>
      </c>
      <c r="N13" s="26" t="s">
        <v>665</v>
      </c>
      <c r="O13" s="26" t="s">
        <v>290</v>
      </c>
      <c r="P13" s="26" t="s">
        <v>192</v>
      </c>
      <c r="Q13" s="26" t="s">
        <v>194</v>
      </c>
      <c r="R13" s="26" t="s">
        <v>193</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394</v>
      </c>
      <c r="BW13" s="170"/>
      <c r="BX13" s="170"/>
      <c r="BY13" s="170" t="s">
        <v>427</v>
      </c>
      <c r="BZ13" s="170"/>
      <c r="CA13" s="170"/>
      <c r="CB13" s="170"/>
      <c r="CC13" s="170"/>
      <c r="CD13" s="170"/>
      <c r="CE13" s="170"/>
      <c r="CF13" s="170"/>
      <c r="CG13" s="170"/>
      <c r="CH13" s="170"/>
      <c r="CI13" s="170" t="s">
        <v>378</v>
      </c>
      <c r="CJ13" s="170" t="s">
        <v>379</v>
      </c>
      <c r="CK13" s="170" t="s">
        <v>605</v>
      </c>
      <c r="CL13" s="170" t="s">
        <v>606</v>
      </c>
      <c r="CM13" s="170" t="s">
        <v>607</v>
      </c>
      <c r="CN13" s="170">
        <v>1262</v>
      </c>
      <c r="CO13" s="170"/>
      <c r="CP13" s="170">
        <v>1262</v>
      </c>
      <c r="CQ13" s="170" t="s">
        <v>428</v>
      </c>
      <c r="CR13" s="170"/>
      <c r="CS13" s="170"/>
      <c r="CT13" s="169"/>
      <c r="CU13" s="169"/>
      <c r="CV13" s="169" t="s">
        <v>405</v>
      </c>
      <c r="CW13" s="169"/>
      <c r="CX13" s="169"/>
      <c r="CY13" s="169"/>
      <c r="CZ13" s="169"/>
      <c r="DA13" s="169"/>
      <c r="DB13" s="160" t="s">
        <v>139</v>
      </c>
      <c r="DC13" s="356"/>
      <c r="DD13" s="169"/>
      <c r="DE13" s="169" t="s">
        <v>311</v>
      </c>
      <c r="DF13" s="169"/>
      <c r="DG13" s="530"/>
      <c r="DH13" s="170" t="s">
        <v>554</v>
      </c>
      <c r="DI13" s="170" t="s">
        <v>555</v>
      </c>
      <c r="DJ13" s="170" t="s">
        <v>556</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515</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515</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518</v>
      </c>
      <c r="B16" s="770" t="s">
        <v>515</v>
      </c>
      <c r="C16" s="771" t="s">
        <v>8</v>
      </c>
      <c r="D16" s="772" t="s">
        <v>25</v>
      </c>
      <c r="E16" s="770" t="s">
        <v>27</v>
      </c>
      <c r="F16" s="770">
        <v>33</v>
      </c>
      <c r="G16" s="773"/>
      <c r="H16" s="774"/>
      <c r="I16" s="351" t="s">
        <v>684</v>
      </c>
      <c r="J16" s="350" t="s">
        <v>1043</v>
      </c>
      <c r="K16" s="350" t="s">
        <v>1051</v>
      </c>
      <c r="L16" s="350" t="s">
        <v>1056</v>
      </c>
      <c r="M16" s="350" t="s">
        <v>683</v>
      </c>
      <c r="N16" s="350" t="s">
        <v>418</v>
      </c>
      <c r="O16" s="775" t="s">
        <v>419</v>
      </c>
      <c r="P16" s="350" t="s">
        <v>632</v>
      </c>
      <c r="Q16" s="350" t="s">
        <v>633</v>
      </c>
      <c r="R16" s="350" t="s">
        <v>634</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991</v>
      </c>
      <c r="AT16" s="778" t="s">
        <v>943</v>
      </c>
      <c r="AU16" s="777" t="s">
        <v>695</v>
      </c>
      <c r="AV16" s="778" t="s">
        <v>944</v>
      </c>
      <c r="AW16" s="777" t="s">
        <v>696</v>
      </c>
      <c r="AX16" s="778" t="s">
        <v>945</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491</v>
      </c>
      <c r="BW16" s="786" t="s">
        <v>387</v>
      </c>
      <c r="BX16" s="786" t="s">
        <v>388</v>
      </c>
      <c r="BY16" s="787" t="s">
        <v>1025</v>
      </c>
      <c r="BZ16" s="787" t="s">
        <v>1127</v>
      </c>
      <c r="CA16" s="786"/>
      <c r="CB16" s="786"/>
      <c r="CC16" s="786"/>
      <c r="CD16" s="786"/>
      <c r="CE16" s="786"/>
      <c r="CF16" s="786"/>
      <c r="CG16" s="786"/>
      <c r="CH16" s="786"/>
      <c r="CI16" s="786" t="s">
        <v>648</v>
      </c>
      <c r="CJ16" s="786" t="s">
        <v>510</v>
      </c>
      <c r="CK16" s="786" t="s">
        <v>608</v>
      </c>
      <c r="CL16" s="786" t="s">
        <v>609</v>
      </c>
      <c r="CM16" s="786" t="s">
        <v>610</v>
      </c>
      <c r="CN16" s="786">
        <v>1262</v>
      </c>
      <c r="CO16" s="786">
        <v>6600</v>
      </c>
      <c r="CP16" s="786">
        <v>1262</v>
      </c>
      <c r="CQ16" s="787" t="s">
        <v>685</v>
      </c>
      <c r="CR16" s="787" t="s">
        <v>1128</v>
      </c>
      <c r="CS16" s="786" t="s">
        <v>500</v>
      </c>
      <c r="CT16" s="530"/>
      <c r="CU16" s="530"/>
      <c r="CV16" s="530" t="s">
        <v>485</v>
      </c>
      <c r="CW16" s="530" t="s">
        <v>436</v>
      </c>
      <c r="CX16" s="530" t="s">
        <v>216</v>
      </c>
      <c r="CY16" s="530"/>
      <c r="CZ16" s="530"/>
      <c r="DA16" s="530"/>
      <c r="DB16" s="363" t="s">
        <v>1044</v>
      </c>
      <c r="DC16" s="363" t="s">
        <v>1045</v>
      </c>
      <c r="DD16" s="530"/>
      <c r="DE16" s="530" t="s">
        <v>693</v>
      </c>
      <c r="DF16" s="530" t="s">
        <v>527</v>
      </c>
      <c r="DG16" s="530"/>
      <c r="DH16" s="786" t="s">
        <v>545</v>
      </c>
      <c r="DI16" s="786" t="s">
        <v>546</v>
      </c>
      <c r="DJ16" s="786" t="s">
        <v>547</v>
      </c>
      <c r="DK16" s="786"/>
      <c r="DL16" s="786"/>
      <c r="DM16" s="786"/>
      <c r="DN16" s="786"/>
      <c r="DO16" s="786"/>
      <c r="DP16" s="786"/>
      <c r="DQ16" s="786"/>
      <c r="DR16" s="786"/>
      <c r="DS16" s="786"/>
      <c r="DT16" s="786"/>
      <c r="DU16" s="786" t="s">
        <v>804</v>
      </c>
      <c r="DV16" s="786"/>
      <c r="DW16" s="786"/>
      <c r="DX16" s="786"/>
      <c r="DY16" s="786"/>
      <c r="DZ16" s="786"/>
      <c r="EA16" s="786"/>
      <c r="EB16" s="786" t="s">
        <v>989</v>
      </c>
      <c r="EC16" s="786" t="s">
        <v>817</v>
      </c>
      <c r="ED16" s="786"/>
      <c r="EE16" s="786">
        <v>6000</v>
      </c>
      <c r="EF16" s="786">
        <v>650</v>
      </c>
      <c r="EG16" s="786"/>
      <c r="EH16" s="786"/>
      <c r="EI16" s="786" t="s">
        <v>818</v>
      </c>
      <c r="EJ16" s="786"/>
      <c r="EK16" s="786"/>
      <c r="EL16" s="786"/>
      <c r="EM16" s="786"/>
      <c r="EN16" s="786"/>
      <c r="EO16" s="1317" t="s">
        <v>1078</v>
      </c>
      <c r="EP16" s="1317" t="s">
        <v>1081</v>
      </c>
      <c r="EQ16" s="1317" t="s">
        <v>1088</v>
      </c>
      <c r="ER16" s="1341" t="s">
        <v>1034</v>
      </c>
      <c r="ES16" s="1332"/>
      <c r="ET16" s="1520"/>
      <c r="EU16" s="1520"/>
      <c r="EV16" s="530" t="s">
        <v>1109</v>
      </c>
      <c r="EW16" s="786"/>
      <c r="EX16" s="786"/>
      <c r="EY16" s="786"/>
    </row>
    <row r="17" spans="1:155" ht="14.25" customHeight="1">
      <c r="A17" s="7" t="s">
        <v>517</v>
      </c>
      <c r="B17" s="21" t="s">
        <v>515</v>
      </c>
      <c r="C17" s="22" t="s">
        <v>8</v>
      </c>
      <c r="D17" s="23" t="s">
        <v>25</v>
      </c>
      <c r="E17" s="21" t="s">
        <v>25</v>
      </c>
      <c r="F17" s="21">
        <v>31</v>
      </c>
      <c r="G17" s="6"/>
      <c r="H17" s="24"/>
      <c r="I17" s="25" t="s">
        <v>684</v>
      </c>
      <c r="J17" s="26" t="s">
        <v>1046</v>
      </c>
      <c r="K17" s="26" t="s">
        <v>1052</v>
      </c>
      <c r="L17" s="26" t="s">
        <v>1057</v>
      </c>
      <c r="M17" s="26" t="s">
        <v>683</v>
      </c>
      <c r="N17" s="26" t="s">
        <v>196</v>
      </c>
      <c r="O17" s="60" t="s">
        <v>283</v>
      </c>
      <c r="P17" s="26" t="s">
        <v>632</v>
      </c>
      <c r="Q17" s="26" t="s">
        <v>633</v>
      </c>
      <c r="R17" s="26" t="s">
        <v>634</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1047</v>
      </c>
      <c r="AT17" s="27"/>
      <c r="AU17" s="52" t="s">
        <v>1053</v>
      </c>
      <c r="AV17" s="27"/>
      <c r="AW17" s="52" t="s">
        <v>1058</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491</v>
      </c>
      <c r="BW17" s="168" t="s">
        <v>489</v>
      </c>
      <c r="BX17" s="168" t="s">
        <v>490</v>
      </c>
      <c r="BY17" s="186" t="s">
        <v>700</v>
      </c>
      <c r="BZ17" s="170"/>
      <c r="CA17" s="170"/>
      <c r="CB17" s="170"/>
      <c r="CC17" s="170"/>
      <c r="CD17" s="170"/>
      <c r="CE17" s="170"/>
      <c r="CF17" s="170"/>
      <c r="CG17" s="170"/>
      <c r="CH17" s="170"/>
      <c r="CI17" s="170" t="s">
        <v>648</v>
      </c>
      <c r="CJ17" s="170" t="s">
        <v>510</v>
      </c>
      <c r="CK17" s="168" t="s">
        <v>608</v>
      </c>
      <c r="CL17" s="168" t="s">
        <v>609</v>
      </c>
      <c r="CM17" s="168" t="s">
        <v>610</v>
      </c>
      <c r="CN17" s="315" t="s">
        <v>431</v>
      </c>
      <c r="CO17" s="170">
        <v>2880</v>
      </c>
      <c r="CP17" s="228" t="s">
        <v>390</v>
      </c>
      <c r="CQ17" s="228" t="s">
        <v>685</v>
      </c>
      <c r="CR17" s="228"/>
      <c r="CS17" s="168" t="s">
        <v>500</v>
      </c>
      <c r="CT17" s="169"/>
      <c r="CU17" s="169"/>
      <c r="CV17" s="169" t="s">
        <v>485</v>
      </c>
      <c r="CW17" s="169" t="s">
        <v>436</v>
      </c>
      <c r="CX17" s="169" t="s">
        <v>216</v>
      </c>
      <c r="CY17" s="169"/>
      <c r="CZ17" s="169"/>
      <c r="DA17" s="169"/>
      <c r="DB17" s="160" t="s">
        <v>1048</v>
      </c>
      <c r="DC17" s="160" t="s">
        <v>1049</v>
      </c>
      <c r="DD17" s="169"/>
      <c r="DE17" s="169" t="s">
        <v>693</v>
      </c>
      <c r="DF17" s="169" t="s">
        <v>527</v>
      </c>
      <c r="DG17" s="530"/>
      <c r="DH17" s="168" t="s">
        <v>545</v>
      </c>
      <c r="DI17" s="168" t="s">
        <v>546</v>
      </c>
      <c r="DJ17" s="168" t="s">
        <v>547</v>
      </c>
      <c r="DK17" s="168"/>
      <c r="DL17" s="168"/>
      <c r="DM17" s="168"/>
      <c r="DN17" s="168"/>
      <c r="DO17" s="168"/>
      <c r="DP17" s="168"/>
      <c r="DQ17" s="168"/>
      <c r="DR17" s="168"/>
      <c r="DS17" s="168"/>
      <c r="DT17" s="168"/>
      <c r="DU17" s="168" t="s">
        <v>804</v>
      </c>
      <c r="DV17" s="168"/>
      <c r="DW17" s="168"/>
      <c r="DX17" s="168"/>
      <c r="DY17" s="168"/>
      <c r="DZ17" s="168"/>
      <c r="EA17" s="168"/>
      <c r="EB17" s="168"/>
      <c r="EC17" s="168"/>
      <c r="ED17" s="168"/>
      <c r="EE17" s="168"/>
      <c r="EF17" s="168"/>
      <c r="EG17" s="168"/>
      <c r="EH17" s="168"/>
      <c r="EI17" s="168" t="s">
        <v>818</v>
      </c>
      <c r="EJ17" s="168"/>
      <c r="EK17" s="168"/>
      <c r="EL17" s="168"/>
      <c r="EM17" s="168"/>
      <c r="EN17" s="168"/>
      <c r="EO17" s="1317" t="s">
        <v>1050</v>
      </c>
      <c r="EP17" s="1317" t="s">
        <v>1054</v>
      </c>
      <c r="EQ17" s="1317" t="s">
        <v>1059</v>
      </c>
      <c r="ER17" s="1339">
        <v>1000</v>
      </c>
      <c r="ES17" s="1332"/>
      <c r="ET17" s="1520"/>
      <c r="EU17" s="1520"/>
      <c r="EV17" s="530" t="s">
        <v>1109</v>
      </c>
      <c r="EW17" s="168"/>
      <c r="EX17" s="168"/>
      <c r="EY17" s="168"/>
    </row>
    <row r="18" spans="1:155" ht="14.25" customHeight="1">
      <c r="A18" s="7" t="s">
        <v>184</v>
      </c>
      <c r="B18" s="21" t="s">
        <v>515</v>
      </c>
      <c r="C18" s="22" t="s">
        <v>8</v>
      </c>
      <c r="D18" s="23" t="s">
        <v>114</v>
      </c>
      <c r="E18" s="21" t="s">
        <v>114</v>
      </c>
      <c r="F18" s="21" t="s">
        <v>179</v>
      </c>
      <c r="G18" s="6"/>
      <c r="H18" s="24"/>
      <c r="I18" s="25" t="s">
        <v>185</v>
      </c>
      <c r="J18" s="26" t="s">
        <v>1103</v>
      </c>
      <c r="K18" s="26" t="s">
        <v>187</v>
      </c>
      <c r="L18" s="26" t="s">
        <v>1055</v>
      </c>
      <c r="M18" s="26" t="s">
        <v>682</v>
      </c>
      <c r="N18" s="26" t="s">
        <v>197</v>
      </c>
      <c r="O18" s="26" t="s">
        <v>284</v>
      </c>
      <c r="P18" s="26" t="s">
        <v>626</v>
      </c>
      <c r="Q18" s="26" t="s">
        <v>627</v>
      </c>
      <c r="R18" s="26" t="s">
        <v>628</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706</v>
      </c>
      <c r="AT18" s="529" t="s">
        <v>421</v>
      </c>
      <c r="AU18" s="161" t="s">
        <v>422</v>
      </c>
      <c r="AV18" s="529" t="s">
        <v>423</v>
      </c>
      <c r="AW18" s="161" t="s">
        <v>424</v>
      </c>
      <c r="AX18" s="529" t="s">
        <v>425</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391</v>
      </c>
      <c r="BW18" s="167" t="s">
        <v>398</v>
      </c>
      <c r="BX18" s="167" t="s">
        <v>399</v>
      </c>
      <c r="BY18" s="186" t="s">
        <v>937</v>
      </c>
      <c r="BZ18" s="187" t="s">
        <v>988</v>
      </c>
      <c r="CA18" s="167"/>
      <c r="CB18" s="167"/>
      <c r="CC18" s="167"/>
      <c r="CD18" s="167"/>
      <c r="CE18" s="167"/>
      <c r="CF18" s="167"/>
      <c r="CG18" s="167"/>
      <c r="CH18" s="167"/>
      <c r="CI18" s="167" t="s">
        <v>675</v>
      </c>
      <c r="CJ18" s="167" t="s">
        <v>381</v>
      </c>
      <c r="CK18" s="167" t="s">
        <v>611</v>
      </c>
      <c r="CL18" s="167" t="s">
        <v>612</v>
      </c>
      <c r="CM18" s="167" t="s">
        <v>612</v>
      </c>
      <c r="CN18" s="167">
        <v>1175</v>
      </c>
      <c r="CO18" s="167">
        <v>1800</v>
      </c>
      <c r="CP18" s="315" t="s">
        <v>534</v>
      </c>
      <c r="CQ18" s="167" t="s">
        <v>987</v>
      </c>
      <c r="CR18" s="167"/>
      <c r="CS18" s="167" t="s">
        <v>823</v>
      </c>
      <c r="CT18" s="169"/>
      <c r="CU18" s="169"/>
      <c r="CV18" s="169" t="s">
        <v>402</v>
      </c>
      <c r="CW18" s="169" t="s">
        <v>441</v>
      </c>
      <c r="CX18" s="169" t="s">
        <v>444</v>
      </c>
      <c r="CY18" s="169"/>
      <c r="CZ18" s="169"/>
      <c r="DA18" s="169"/>
      <c r="DB18" s="355" t="s">
        <v>1042</v>
      </c>
      <c r="DC18" s="361"/>
      <c r="DD18" s="169"/>
      <c r="DE18" s="362" t="s">
        <v>692</v>
      </c>
      <c r="DF18" s="362" t="s">
        <v>186</v>
      </c>
      <c r="DG18" s="530"/>
      <c r="DH18" s="167" t="s">
        <v>553</v>
      </c>
      <c r="DI18" s="167" t="s">
        <v>551</v>
      </c>
      <c r="DJ18" s="167" t="s">
        <v>552</v>
      </c>
      <c r="DK18" s="167"/>
      <c r="DL18" s="167"/>
      <c r="DM18" s="168"/>
      <c r="DN18" s="168"/>
      <c r="DO18" s="168"/>
      <c r="DP18" s="168"/>
      <c r="DQ18" s="168"/>
      <c r="DR18" s="168"/>
      <c r="DS18" s="168"/>
      <c r="DT18" s="168"/>
      <c r="DU18" s="168" t="s">
        <v>805</v>
      </c>
      <c r="DV18" s="168"/>
      <c r="DW18" s="168"/>
      <c r="DX18" s="168"/>
      <c r="DY18" s="168"/>
      <c r="DZ18" s="168"/>
      <c r="EA18" s="168"/>
      <c r="EB18" s="168" t="s">
        <v>816</v>
      </c>
      <c r="EC18" s="168" t="s">
        <v>819</v>
      </c>
      <c r="ED18" s="168"/>
      <c r="EE18" s="168">
        <v>1200</v>
      </c>
      <c r="EF18" s="168">
        <v>600</v>
      </c>
      <c r="EG18" s="168"/>
      <c r="EH18" s="168"/>
      <c r="EI18" s="168" t="s">
        <v>821</v>
      </c>
      <c r="EJ18" s="168"/>
      <c r="EK18" s="168"/>
      <c r="EL18" s="168"/>
      <c r="EM18" s="168"/>
      <c r="EN18" s="168"/>
      <c r="EO18" s="355" t="s">
        <v>1042</v>
      </c>
      <c r="EP18" s="355" t="s">
        <v>187</v>
      </c>
      <c r="EQ18" s="355" t="s">
        <v>1055</v>
      </c>
      <c r="ER18" s="1338">
        <v>1600</v>
      </c>
      <c r="ES18" s="380"/>
      <c r="ET18" s="1520"/>
      <c r="EU18" s="1520"/>
      <c r="EV18" s="530" t="s">
        <v>1112</v>
      </c>
      <c r="EW18" s="168"/>
      <c r="EX18" s="168"/>
      <c r="EY18" s="168"/>
    </row>
    <row r="19" spans="1:155" ht="14.25" customHeight="1">
      <c r="A19" s="7" t="s">
        <v>519</v>
      </c>
      <c r="B19" s="21" t="s">
        <v>515</v>
      </c>
      <c r="C19" s="22" t="s">
        <v>8</v>
      </c>
      <c r="D19" s="23" t="s">
        <v>28</v>
      </c>
      <c r="E19" s="21" t="s">
        <v>28</v>
      </c>
      <c r="F19" s="21">
        <v>26</v>
      </c>
      <c r="G19" s="6"/>
      <c r="H19" s="24"/>
      <c r="I19" s="25" t="s">
        <v>67</v>
      </c>
      <c r="J19" s="26" t="s">
        <v>454</v>
      </c>
      <c r="K19" s="26" t="s">
        <v>1092</v>
      </c>
      <c r="L19" s="26" t="s">
        <v>135</v>
      </c>
      <c r="M19" s="26" t="s">
        <v>136</v>
      </c>
      <c r="N19" s="26" t="s">
        <v>206</v>
      </c>
      <c r="O19" s="26" t="s">
        <v>289</v>
      </c>
      <c r="P19" s="26" t="s">
        <v>191</v>
      </c>
      <c r="Q19" s="26" t="s">
        <v>195</v>
      </c>
      <c r="R19" s="26" t="s">
        <v>203</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393</v>
      </c>
      <c r="BW19" s="170"/>
      <c r="BX19" s="170"/>
      <c r="BY19" s="170" t="s">
        <v>686</v>
      </c>
      <c r="BZ19" s="170"/>
      <c r="CA19" s="170"/>
      <c r="CB19" s="170"/>
      <c r="CC19" s="170"/>
      <c r="CD19" s="170"/>
      <c r="CE19" s="170"/>
      <c r="CF19" s="170"/>
      <c r="CG19" s="170"/>
      <c r="CH19" s="170"/>
      <c r="CI19" s="170" t="s">
        <v>664</v>
      </c>
      <c r="CJ19" s="170" t="s">
        <v>377</v>
      </c>
      <c r="CK19" s="170" t="s">
        <v>613</v>
      </c>
      <c r="CL19" s="170" t="s">
        <v>614</v>
      </c>
      <c r="CM19" s="170" t="s">
        <v>615</v>
      </c>
      <c r="CN19" s="170">
        <v>1262</v>
      </c>
      <c r="CO19" s="170">
        <v>700</v>
      </c>
      <c r="CP19" s="170">
        <v>1262</v>
      </c>
      <c r="CQ19" s="170" t="s">
        <v>990</v>
      </c>
      <c r="CR19" s="170"/>
      <c r="CS19" s="170"/>
      <c r="CT19" s="169"/>
      <c r="CU19" s="169"/>
      <c r="CV19" s="169" t="s">
        <v>404</v>
      </c>
      <c r="CW19" s="169" t="s">
        <v>437</v>
      </c>
      <c r="CX19" s="169" t="s">
        <v>448</v>
      </c>
      <c r="CY19" s="169" t="s">
        <v>575</v>
      </c>
      <c r="CZ19" s="169" t="s">
        <v>576</v>
      </c>
      <c r="DA19" s="169" t="s">
        <v>577</v>
      </c>
      <c r="DB19" s="160" t="s">
        <v>60</v>
      </c>
      <c r="DC19" s="356"/>
      <c r="DD19" s="169"/>
      <c r="DE19" s="362" t="s">
        <v>312</v>
      </c>
      <c r="DF19" s="362" t="s">
        <v>824</v>
      </c>
      <c r="DG19" s="530" t="s">
        <v>586</v>
      </c>
      <c r="DH19" s="170" t="s">
        <v>557</v>
      </c>
      <c r="DI19" s="170" t="s">
        <v>558</v>
      </c>
      <c r="DJ19" s="170" t="s">
        <v>559</v>
      </c>
      <c r="DK19" s="170"/>
      <c r="DL19" s="170"/>
      <c r="DM19" s="168"/>
      <c r="DN19" s="168"/>
      <c r="DO19" s="168"/>
      <c r="DP19" s="168"/>
      <c r="DQ19" s="168"/>
      <c r="DR19" s="168"/>
      <c r="DS19" s="168"/>
      <c r="DT19" s="168"/>
      <c r="DU19" s="168" t="s">
        <v>806</v>
      </c>
      <c r="DV19" s="168"/>
      <c r="DW19" s="168"/>
      <c r="DX19" s="168"/>
      <c r="DY19" s="168"/>
      <c r="DZ19" s="168"/>
      <c r="EA19" s="168"/>
      <c r="EB19" s="168"/>
      <c r="EC19" s="168"/>
      <c r="ED19" s="168"/>
      <c r="EE19" s="168"/>
      <c r="EF19" s="168"/>
      <c r="EG19" s="168"/>
      <c r="EH19" s="168"/>
      <c r="EI19" s="168"/>
      <c r="EJ19" s="168"/>
      <c r="EK19" s="168"/>
      <c r="EL19" s="168"/>
      <c r="EM19" s="168"/>
      <c r="EN19" s="168"/>
      <c r="EO19" s="1317" t="s">
        <v>1014</v>
      </c>
      <c r="EP19" s="1317" t="s">
        <v>1015</v>
      </c>
      <c r="EQ19" s="1317" t="s">
        <v>1016</v>
      </c>
      <c r="ER19" s="1339">
        <v>875</v>
      </c>
      <c r="ES19" s="1332"/>
      <c r="ET19" s="1520"/>
      <c r="EU19" s="1520"/>
      <c r="EV19" s="530" t="s">
        <v>1114</v>
      </c>
      <c r="EW19" s="168"/>
      <c r="EX19" s="168"/>
      <c r="EY19" s="168" t="s">
        <v>1176</v>
      </c>
    </row>
    <row r="20" spans="1:155" ht="14.25" customHeight="1">
      <c r="A20" s="7" t="s">
        <v>520</v>
      </c>
      <c r="B20" s="21" t="s">
        <v>515</v>
      </c>
      <c r="C20" s="22" t="s">
        <v>8</v>
      </c>
      <c r="D20" s="23" t="s">
        <v>29</v>
      </c>
      <c r="E20" s="21" t="s">
        <v>29</v>
      </c>
      <c r="F20" s="21">
        <v>25</v>
      </c>
      <c r="G20" s="6"/>
      <c r="H20" s="24"/>
      <c r="I20" s="25" t="s">
        <v>68</v>
      </c>
      <c r="J20" s="26" t="s">
        <v>69</v>
      </c>
      <c r="K20" s="26" t="s">
        <v>117</v>
      </c>
      <c r="L20" s="26" t="s">
        <v>70</v>
      </c>
      <c r="M20" s="26" t="s">
        <v>121</v>
      </c>
      <c r="N20" s="26" t="s">
        <v>623</v>
      </c>
      <c r="O20" s="26" t="s">
        <v>624</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541</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701</v>
      </c>
      <c r="BZ20" s="170" t="s">
        <v>460</v>
      </c>
      <c r="CA20" s="170"/>
      <c r="CB20" s="170"/>
      <c r="CC20" s="170"/>
      <c r="CD20" s="170"/>
      <c r="CE20" s="170"/>
      <c r="CF20" s="170"/>
      <c r="CG20" s="170"/>
      <c r="CH20" s="170"/>
      <c r="CI20" s="170"/>
      <c r="CJ20" s="170"/>
      <c r="CK20" s="170"/>
      <c r="CL20" s="170"/>
      <c r="CM20" s="170"/>
      <c r="CN20" s="170">
        <v>1148</v>
      </c>
      <c r="CO20" s="170">
        <v>1000</v>
      </c>
      <c r="CP20" s="170">
        <v>1148</v>
      </c>
      <c r="CQ20" s="170" t="s">
        <v>1159</v>
      </c>
      <c r="CR20" s="170" t="s">
        <v>460</v>
      </c>
      <c r="CS20" s="170"/>
      <c r="CT20" s="169"/>
      <c r="CU20" s="169"/>
      <c r="CV20" s="169"/>
      <c r="CW20" s="169" t="s">
        <v>438</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807</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521</v>
      </c>
      <c r="B21" s="770" t="s">
        <v>515</v>
      </c>
      <c r="C21" s="771" t="s">
        <v>8</v>
      </c>
      <c r="D21" s="772" t="s">
        <v>30</v>
      </c>
      <c r="E21" s="770" t="s">
        <v>30</v>
      </c>
      <c r="F21" s="770">
        <v>22</v>
      </c>
      <c r="G21" s="773"/>
      <c r="H21" s="789" t="s">
        <v>53</v>
      </c>
      <c r="I21" s="351" t="s">
        <v>946</v>
      </c>
      <c r="J21" s="350" t="s">
        <v>947</v>
      </c>
      <c r="K21" s="350" t="s">
        <v>948</v>
      </c>
      <c r="L21" s="350" t="s">
        <v>949</v>
      </c>
      <c r="M21" s="350" t="s">
        <v>950</v>
      </c>
      <c r="N21" s="350" t="s">
        <v>951</v>
      </c>
      <c r="O21" s="350" t="s">
        <v>952</v>
      </c>
      <c r="P21" s="350" t="s">
        <v>953</v>
      </c>
      <c r="Q21" s="350" t="s">
        <v>954</v>
      </c>
      <c r="R21" s="350" t="s">
        <v>955</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958</v>
      </c>
      <c r="AT21" s="778"/>
      <c r="AU21" s="777" t="s">
        <v>956</v>
      </c>
      <c r="AV21" s="778"/>
      <c r="AW21" s="777" t="s">
        <v>957</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959</v>
      </c>
      <c r="BW21" s="790" t="s">
        <v>396</v>
      </c>
      <c r="BX21" s="790" t="s">
        <v>397</v>
      </c>
      <c r="BY21" s="1538" t="s">
        <v>986</v>
      </c>
      <c r="BZ21" s="1538"/>
      <c r="CA21" s="790"/>
      <c r="CB21" s="790"/>
      <c r="CC21" s="790"/>
      <c r="CD21" s="790"/>
      <c r="CE21" s="790"/>
      <c r="CF21" s="790"/>
      <c r="CG21" s="790"/>
      <c r="CH21" s="790"/>
      <c r="CI21" s="790" t="s">
        <v>960</v>
      </c>
      <c r="CJ21" s="790" t="s">
        <v>961</v>
      </c>
      <c r="CK21" s="790" t="s">
        <v>962</v>
      </c>
      <c r="CL21" s="790" t="s">
        <v>963</v>
      </c>
      <c r="CM21" s="790" t="s">
        <v>964</v>
      </c>
      <c r="CN21" s="1538" t="s">
        <v>412</v>
      </c>
      <c r="CO21" s="790">
        <v>450</v>
      </c>
      <c r="CP21" s="1538" t="s">
        <v>412</v>
      </c>
      <c r="CQ21" s="1538" t="s">
        <v>687</v>
      </c>
      <c r="CR21" s="1538"/>
      <c r="CS21" s="790"/>
      <c r="CT21" s="530"/>
      <c r="CU21" s="530"/>
      <c r="CV21" s="530" t="s">
        <v>406</v>
      </c>
      <c r="CW21" s="530" t="s">
        <v>439</v>
      </c>
      <c r="CX21" s="530" t="s">
        <v>447</v>
      </c>
      <c r="CY21" s="530"/>
      <c r="CZ21" s="530"/>
      <c r="DA21" s="530"/>
      <c r="DB21" s="363" t="s">
        <v>958</v>
      </c>
      <c r="DC21" s="363" t="s">
        <v>207</v>
      </c>
      <c r="DD21" s="530"/>
      <c r="DE21" s="364" t="s">
        <v>965</v>
      </c>
      <c r="DF21" s="364" t="s">
        <v>985</v>
      </c>
      <c r="DG21" s="530"/>
      <c r="DH21" s="790" t="s">
        <v>560</v>
      </c>
      <c r="DI21" s="790" t="s">
        <v>561</v>
      </c>
      <c r="DJ21" s="790" t="s">
        <v>562</v>
      </c>
      <c r="DK21" s="790"/>
      <c r="DL21" s="790"/>
      <c r="DM21" s="786"/>
      <c r="DN21" s="786"/>
      <c r="DO21" s="786"/>
      <c r="DP21" s="786"/>
      <c r="DQ21" s="786"/>
      <c r="DR21" s="786"/>
      <c r="DS21" s="786"/>
      <c r="DT21" s="786"/>
      <c r="DU21" s="786" t="s">
        <v>808</v>
      </c>
      <c r="DV21" s="786"/>
      <c r="DW21" s="786"/>
      <c r="DX21" s="786"/>
      <c r="DY21" s="786"/>
      <c r="DZ21" s="786"/>
      <c r="EA21" s="786"/>
      <c r="EB21" s="786"/>
      <c r="EC21" s="786"/>
      <c r="ED21" s="786" t="s">
        <v>71</v>
      </c>
      <c r="EE21" s="787"/>
      <c r="EF21" s="786">
        <v>600</v>
      </c>
      <c r="EG21" s="786">
        <v>400</v>
      </c>
      <c r="EH21" s="786">
        <v>450</v>
      </c>
      <c r="EI21" s="786"/>
      <c r="EJ21" s="786" t="s">
        <v>822</v>
      </c>
      <c r="EK21" s="786"/>
      <c r="EL21" s="786"/>
      <c r="EM21" s="786"/>
      <c r="EN21" s="786"/>
      <c r="EO21" s="840" t="s">
        <v>1026</v>
      </c>
      <c r="EP21" s="840" t="s">
        <v>1027</v>
      </c>
      <c r="EQ21" s="840" t="s">
        <v>1028</v>
      </c>
      <c r="ER21" s="1539" t="s">
        <v>1009</v>
      </c>
      <c r="ES21" s="1335"/>
      <c r="ET21" s="1528"/>
      <c r="EU21" s="1528"/>
      <c r="EV21" s="530" t="s">
        <v>1116</v>
      </c>
      <c r="EW21" s="786"/>
      <c r="EX21" s="786"/>
      <c r="EY21" s="786"/>
    </row>
    <row r="22" spans="1:155" s="788" customFormat="1" ht="14.25" customHeight="1">
      <c r="A22" s="747" t="s">
        <v>522</v>
      </c>
      <c r="B22" s="770" t="s">
        <v>515</v>
      </c>
      <c r="C22" s="771" t="s">
        <v>8</v>
      </c>
      <c r="D22" s="772" t="s">
        <v>30</v>
      </c>
      <c r="E22" s="770">
        <v>10</v>
      </c>
      <c r="F22" s="770">
        <v>22</v>
      </c>
      <c r="G22" s="773"/>
      <c r="H22" s="789" t="s">
        <v>53</v>
      </c>
      <c r="I22" s="350" t="s">
        <v>121</v>
      </c>
      <c r="J22" s="350" t="s">
        <v>121</v>
      </c>
      <c r="K22" s="350" t="s">
        <v>121</v>
      </c>
      <c r="L22" s="350" t="s">
        <v>121</v>
      </c>
      <c r="M22" s="350" t="s">
        <v>121</v>
      </c>
      <c r="N22" s="1540" t="s">
        <v>625</v>
      </c>
      <c r="O22" s="350" t="s">
        <v>297</v>
      </c>
      <c r="P22" s="350" t="s">
        <v>208</v>
      </c>
      <c r="Q22" s="350" t="s">
        <v>209</v>
      </c>
      <c r="R22" s="350" t="s">
        <v>210</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208</v>
      </c>
      <c r="AT22" s="778"/>
      <c r="AU22" s="777" t="s">
        <v>209</v>
      </c>
      <c r="AV22" s="778"/>
      <c r="AW22" s="777" t="s">
        <v>210</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400</v>
      </c>
      <c r="BZ22" s="790"/>
      <c r="CA22" s="790"/>
      <c r="CB22" s="790"/>
      <c r="CC22" s="790"/>
      <c r="CD22" s="790"/>
      <c r="CE22" s="790"/>
      <c r="CF22" s="790"/>
      <c r="CG22" s="790"/>
      <c r="CH22" s="790"/>
      <c r="CI22" s="790"/>
      <c r="CJ22" s="790"/>
      <c r="CK22" s="790"/>
      <c r="CL22" s="790"/>
      <c r="CM22" s="790"/>
      <c r="CN22" s="790">
        <v>1292</v>
      </c>
      <c r="CO22" s="790">
        <v>2655</v>
      </c>
      <c r="CP22" s="790">
        <v>1292</v>
      </c>
      <c r="CQ22" s="790" t="s">
        <v>884</v>
      </c>
      <c r="CR22" s="790"/>
      <c r="CS22" s="790"/>
      <c r="CT22" s="530"/>
      <c r="CU22" s="530"/>
      <c r="CV22" s="530"/>
      <c r="CW22" s="530"/>
      <c r="CX22" s="530"/>
      <c r="CY22" s="530"/>
      <c r="CZ22" s="530"/>
      <c r="DA22" s="530"/>
      <c r="DB22" s="363" t="s">
        <v>208</v>
      </c>
      <c r="DC22" s="791"/>
      <c r="DD22" s="530"/>
      <c r="DE22" s="364" t="s">
        <v>313</v>
      </c>
      <c r="DF22" s="364" t="s">
        <v>313</v>
      </c>
      <c r="DG22" s="530"/>
      <c r="DH22" s="790"/>
      <c r="DI22" s="790"/>
      <c r="DJ22" s="790"/>
      <c r="DK22" s="790"/>
      <c r="DL22" s="790"/>
      <c r="DM22" s="786"/>
      <c r="DN22" s="786"/>
      <c r="DO22" s="786"/>
      <c r="DP22" s="786"/>
      <c r="DQ22" s="786"/>
      <c r="DR22" s="786"/>
      <c r="DS22" s="786"/>
      <c r="DT22" s="786"/>
      <c r="DU22" s="786" t="s">
        <v>808</v>
      </c>
      <c r="DV22" s="786"/>
      <c r="DW22" s="786"/>
      <c r="DX22" s="786"/>
      <c r="DY22" s="786"/>
      <c r="DZ22" s="786"/>
      <c r="EA22" s="786"/>
      <c r="EB22" s="786"/>
      <c r="EC22" s="786"/>
      <c r="ED22" s="786"/>
      <c r="EE22" s="786"/>
      <c r="EF22" s="786"/>
      <c r="EG22" s="786"/>
      <c r="EH22" s="786"/>
      <c r="EI22" s="786"/>
      <c r="EJ22" s="1541" t="s">
        <v>891</v>
      </c>
      <c r="EK22" s="786"/>
      <c r="EL22" s="786"/>
      <c r="EM22" s="786"/>
      <c r="EN22" s="786"/>
      <c r="EO22" s="363" t="s">
        <v>1017</v>
      </c>
      <c r="EP22" s="363" t="s">
        <v>1018</v>
      </c>
      <c r="EQ22" s="363" t="s">
        <v>1019</v>
      </c>
      <c r="ER22" s="1379">
        <v>2400</v>
      </c>
      <c r="ES22" s="1335"/>
      <c r="ET22" s="1528"/>
      <c r="EU22" s="1528"/>
      <c r="EV22" s="530"/>
      <c r="EW22" s="168" t="s">
        <v>1123</v>
      </c>
      <c r="EX22" s="168"/>
      <c r="EY22" s="168"/>
    </row>
    <row r="23" spans="1:155" ht="14.25" customHeight="1" thickBot="1">
      <c r="A23" s="77" t="s">
        <v>5</v>
      </c>
      <c r="B23" s="78" t="s">
        <v>515</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515</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515</v>
      </c>
      <c r="C25" s="22" t="s">
        <v>8</v>
      </c>
      <c r="D25" s="23">
        <v>30</v>
      </c>
      <c r="E25" s="21">
        <v>30</v>
      </c>
      <c r="F25" s="21">
        <v>23</v>
      </c>
      <c r="G25" s="6"/>
      <c r="H25" s="24"/>
      <c r="I25" s="25" t="s">
        <v>79</v>
      </c>
      <c r="J25" s="26" t="s">
        <v>202</v>
      </c>
      <c r="K25" s="26" t="s">
        <v>306</v>
      </c>
      <c r="L25" s="26" t="s">
        <v>81</v>
      </c>
      <c r="M25" s="26" t="s">
        <v>83</v>
      </c>
      <c r="N25" s="26" t="s">
        <v>707</v>
      </c>
      <c r="O25" s="26" t="s">
        <v>292</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395</v>
      </c>
      <c r="BW25" s="170" t="s">
        <v>601</v>
      </c>
      <c r="BX25" s="170" t="s">
        <v>457</v>
      </c>
      <c r="BY25" s="170" t="s">
        <v>698</v>
      </c>
      <c r="BZ25" s="170"/>
      <c r="CA25" s="170"/>
      <c r="CB25" s="170"/>
      <c r="CC25" s="170"/>
      <c r="CD25" s="170"/>
      <c r="CE25" s="170"/>
      <c r="CF25" s="170"/>
      <c r="CG25" s="170"/>
      <c r="CH25" s="170"/>
      <c r="CI25" s="170" t="s">
        <v>673</v>
      </c>
      <c r="CJ25" s="170" t="s">
        <v>380</v>
      </c>
      <c r="CK25" s="170" t="s">
        <v>616</v>
      </c>
      <c r="CL25" s="170" t="s">
        <v>617</v>
      </c>
      <c r="CM25" s="170" t="s">
        <v>618</v>
      </c>
      <c r="CN25" s="170">
        <v>1262</v>
      </c>
      <c r="CO25" s="170">
        <v>600</v>
      </c>
      <c r="CP25" s="170">
        <v>1262</v>
      </c>
      <c r="CQ25" s="170" t="s">
        <v>699</v>
      </c>
      <c r="CR25" s="170"/>
      <c r="CS25" s="170"/>
      <c r="CT25" s="169"/>
      <c r="CU25" s="169"/>
      <c r="CV25" s="169" t="s">
        <v>407</v>
      </c>
      <c r="CW25" s="169" t="s">
        <v>440</v>
      </c>
      <c r="CX25" s="169" t="s">
        <v>446</v>
      </c>
      <c r="CY25" s="169" t="s">
        <v>578</v>
      </c>
      <c r="CZ25" s="169" t="s">
        <v>579</v>
      </c>
      <c r="DA25" s="169" t="s">
        <v>580</v>
      </c>
      <c r="DB25" s="160" t="s">
        <v>80</v>
      </c>
      <c r="DC25" s="356"/>
      <c r="DD25" s="169"/>
      <c r="DE25" s="364" t="s">
        <v>314</v>
      </c>
      <c r="DF25" s="350" t="s">
        <v>708</v>
      </c>
      <c r="DG25" s="530" t="s">
        <v>587</v>
      </c>
      <c r="DH25" s="170" t="s">
        <v>563</v>
      </c>
      <c r="DI25" s="170" t="s">
        <v>564</v>
      </c>
      <c r="DJ25" s="170" t="s">
        <v>565</v>
      </c>
      <c r="DK25" s="170"/>
      <c r="DL25" s="170"/>
      <c r="DM25" s="170" t="s">
        <v>739</v>
      </c>
      <c r="DN25" s="170" t="s">
        <v>740</v>
      </c>
      <c r="DO25" s="170" t="s">
        <v>741</v>
      </c>
      <c r="DP25" s="170"/>
      <c r="DQ25" s="170" t="s">
        <v>742</v>
      </c>
      <c r="DR25" s="170" t="s">
        <v>743</v>
      </c>
      <c r="DS25" s="170"/>
      <c r="DT25" s="170" t="s">
        <v>744</v>
      </c>
      <c r="DU25" s="170" t="s">
        <v>745</v>
      </c>
      <c r="DV25" s="170" t="s">
        <v>746</v>
      </c>
      <c r="DW25" s="170" t="s">
        <v>747</v>
      </c>
      <c r="DX25" s="170" t="s">
        <v>748</v>
      </c>
      <c r="DY25" s="170" t="s">
        <v>749</v>
      </c>
      <c r="DZ25" s="170" t="s">
        <v>750</v>
      </c>
      <c r="EA25" s="170" t="s">
        <v>751</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515</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515</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515</v>
      </c>
      <c r="C28" s="22" t="s">
        <v>8</v>
      </c>
      <c r="D28" s="23" t="s">
        <v>31</v>
      </c>
      <c r="E28" s="21" t="s">
        <v>31</v>
      </c>
      <c r="F28" s="21">
        <v>24</v>
      </c>
      <c r="G28" s="6"/>
      <c r="H28" s="30" t="s">
        <v>54</v>
      </c>
      <c r="I28" s="25" t="s">
        <v>967</v>
      </c>
      <c r="J28" s="26" t="s">
        <v>968</v>
      </c>
      <c r="K28" s="26" t="s">
        <v>969</v>
      </c>
      <c r="L28" s="26" t="s">
        <v>970</v>
      </c>
      <c r="M28" s="26" t="s">
        <v>971</v>
      </c>
      <c r="N28" s="26" t="s">
        <v>980</v>
      </c>
      <c r="O28" s="26" t="s">
        <v>972</v>
      </c>
      <c r="P28" s="26" t="s">
        <v>1145</v>
      </c>
      <c r="Q28" s="26" t="s">
        <v>1146</v>
      </c>
      <c r="R28" s="26" t="s">
        <v>1147</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981</v>
      </c>
      <c r="AT28" s="27"/>
      <c r="AU28" s="52" t="s">
        <v>982</v>
      </c>
      <c r="AV28" s="27"/>
      <c r="AW28" s="52" t="s">
        <v>983</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973</v>
      </c>
      <c r="BW28" s="170" t="s">
        <v>966</v>
      </c>
      <c r="BX28" s="170" t="s">
        <v>974</v>
      </c>
      <c r="BY28" s="186" t="s">
        <v>1140</v>
      </c>
      <c r="BZ28" s="186"/>
      <c r="CA28" s="170" t="s">
        <v>367</v>
      </c>
      <c r="CB28" s="170" t="s">
        <v>368</v>
      </c>
      <c r="CC28" s="170" t="s">
        <v>369</v>
      </c>
      <c r="CD28" s="170" t="s">
        <v>370</v>
      </c>
      <c r="CE28" s="170"/>
      <c r="CF28" s="170"/>
      <c r="CG28" s="170"/>
      <c r="CH28" s="170"/>
      <c r="CI28" s="170" t="s">
        <v>975</v>
      </c>
      <c r="CJ28" s="170" t="s">
        <v>976</v>
      </c>
      <c r="CK28" s="170" t="s">
        <v>619</v>
      </c>
      <c r="CL28" s="170" t="s">
        <v>620</v>
      </c>
      <c r="CM28" s="170" t="s">
        <v>621</v>
      </c>
      <c r="CN28" s="186" t="s">
        <v>411</v>
      </c>
      <c r="CO28" s="170">
        <v>850</v>
      </c>
      <c r="CP28" s="186" t="s">
        <v>411</v>
      </c>
      <c r="CQ28" s="170" t="s">
        <v>705</v>
      </c>
      <c r="CR28" s="170"/>
      <c r="CS28" s="170"/>
      <c r="CT28" s="169"/>
      <c r="CU28" s="169"/>
      <c r="CV28" s="169" t="s">
        <v>583</v>
      </c>
      <c r="CW28" s="169" t="s">
        <v>977</v>
      </c>
      <c r="CX28" s="169" t="s">
        <v>449</v>
      </c>
      <c r="CY28" s="169"/>
      <c r="CZ28" s="169"/>
      <c r="DA28" s="169"/>
      <c r="DB28" s="160" t="s">
        <v>981</v>
      </c>
      <c r="DC28" s="356"/>
      <c r="DD28" s="169"/>
      <c r="DE28" s="364" t="s">
        <v>978</v>
      </c>
      <c r="DF28" s="350" t="s">
        <v>984</v>
      </c>
      <c r="DG28" s="169"/>
      <c r="DH28" s="170" t="s">
        <v>566</v>
      </c>
      <c r="DI28" s="170" t="s">
        <v>567</v>
      </c>
      <c r="DJ28" s="170" t="s">
        <v>568</v>
      </c>
      <c r="DK28" s="170"/>
      <c r="DL28" s="170"/>
      <c r="DM28" s="654" t="s">
        <v>782</v>
      </c>
      <c r="DN28" s="170"/>
      <c r="DO28" s="170"/>
      <c r="DP28" s="170"/>
      <c r="DQ28" s="170"/>
      <c r="DR28" s="170"/>
      <c r="DS28" s="170"/>
      <c r="DT28" s="170"/>
      <c r="DU28" s="170" t="s">
        <v>781</v>
      </c>
      <c r="DV28" s="170"/>
      <c r="DW28" s="170"/>
      <c r="DX28" s="170"/>
      <c r="DY28" s="170"/>
      <c r="DZ28" s="170"/>
      <c r="EA28" s="170"/>
      <c r="EB28" s="170"/>
      <c r="EC28" s="170"/>
      <c r="ED28" s="170" t="s">
        <v>979</v>
      </c>
      <c r="EE28" s="170"/>
      <c r="EF28" s="170"/>
      <c r="EG28" s="170"/>
      <c r="EH28" s="170"/>
      <c r="EI28" s="170"/>
      <c r="EJ28" s="170"/>
      <c r="EK28" s="170"/>
      <c r="EL28" s="170"/>
      <c r="EM28" s="170"/>
      <c r="EN28" s="170"/>
      <c r="EO28" s="1319" t="s">
        <v>1005</v>
      </c>
      <c r="EP28" s="1319" t="s">
        <v>1006</v>
      </c>
      <c r="EQ28" s="1319" t="s">
        <v>1007</v>
      </c>
      <c r="ER28" s="1340" t="s">
        <v>1008</v>
      </c>
      <c r="ES28" s="1336"/>
      <c r="ET28" s="1520"/>
      <c r="EU28" s="1520"/>
      <c r="EV28" s="530" t="s">
        <v>1118</v>
      </c>
      <c r="EW28" s="170"/>
      <c r="EX28" s="170"/>
      <c r="EY28" s="170"/>
    </row>
    <row r="29" spans="1:155" ht="13.9" customHeight="1">
      <c r="A29" s="7" t="s">
        <v>4</v>
      </c>
      <c r="B29" s="21" t="s">
        <v>515</v>
      </c>
      <c r="C29" s="22" t="s">
        <v>8</v>
      </c>
      <c r="D29" s="23" t="s">
        <v>31</v>
      </c>
      <c r="E29" s="21" t="s">
        <v>32</v>
      </c>
      <c r="F29" s="21">
        <v>24</v>
      </c>
      <c r="G29" s="6"/>
      <c r="H29" s="30" t="s">
        <v>54</v>
      </c>
      <c r="I29" s="26" t="s">
        <v>121</v>
      </c>
      <c r="J29" s="26" t="s">
        <v>121</v>
      </c>
      <c r="K29" s="26" t="s">
        <v>121</v>
      </c>
      <c r="L29" s="26" t="s">
        <v>121</v>
      </c>
      <c r="M29" s="26" t="s">
        <v>121</v>
      </c>
      <c r="N29" s="26" t="s">
        <v>703</v>
      </c>
      <c r="O29" s="26" t="s">
        <v>298</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325</v>
      </c>
      <c r="BX29" s="170" t="s">
        <v>326</v>
      </c>
      <c r="BY29" s="186" t="s">
        <v>812</v>
      </c>
      <c r="BZ29" s="170"/>
      <c r="CA29" s="170"/>
      <c r="CB29" s="170"/>
      <c r="CC29" s="170"/>
      <c r="CD29" s="170"/>
      <c r="CE29" s="170"/>
      <c r="CF29" s="170"/>
      <c r="CG29" s="170"/>
      <c r="CH29" s="170"/>
      <c r="CI29" s="170"/>
      <c r="CJ29" s="170"/>
      <c r="CK29" s="170"/>
      <c r="CL29" s="170"/>
      <c r="CM29" s="170"/>
      <c r="CN29" s="170">
        <v>1292</v>
      </c>
      <c r="CO29" s="170">
        <v>850</v>
      </c>
      <c r="CP29" s="170">
        <v>1292</v>
      </c>
      <c r="CQ29" s="170" t="s">
        <v>813</v>
      </c>
      <c r="CR29" s="170"/>
      <c r="CS29" s="170"/>
      <c r="CT29" s="169"/>
      <c r="CU29" s="169"/>
      <c r="CV29" s="169"/>
      <c r="CW29" s="169"/>
      <c r="CX29" s="169"/>
      <c r="CY29" s="169"/>
      <c r="CZ29" s="169"/>
      <c r="DA29" s="169"/>
      <c r="DB29" s="160" t="s">
        <v>34</v>
      </c>
      <c r="DC29" s="356"/>
      <c r="DD29" s="169"/>
      <c r="DE29" s="364" t="s">
        <v>315</v>
      </c>
      <c r="DF29" s="350"/>
      <c r="DG29" s="169"/>
      <c r="DH29" s="170"/>
      <c r="DI29" s="170"/>
      <c r="DJ29" s="170"/>
      <c r="DK29" s="170"/>
      <c r="DL29" s="170"/>
      <c r="DM29" s="170"/>
      <c r="DN29" s="170"/>
      <c r="DO29" s="170"/>
      <c r="DP29" s="170"/>
      <c r="DQ29" s="170"/>
      <c r="DR29" s="170"/>
      <c r="DS29" s="170"/>
      <c r="DT29" s="170"/>
      <c r="DU29" s="170" t="s">
        <v>781</v>
      </c>
      <c r="DV29" s="170"/>
      <c r="DW29" s="170"/>
      <c r="DX29" s="170"/>
      <c r="DY29" s="170"/>
      <c r="DZ29" s="170"/>
      <c r="EA29" s="170"/>
      <c r="EB29" s="170"/>
      <c r="EC29" s="170"/>
      <c r="ED29" s="170"/>
      <c r="EE29" s="170"/>
      <c r="EF29" s="170"/>
      <c r="EG29" s="170"/>
      <c r="EH29" s="170"/>
      <c r="EI29" s="170"/>
      <c r="EJ29" s="170"/>
      <c r="EK29" s="170"/>
      <c r="EL29" s="170"/>
      <c r="EM29" s="170"/>
      <c r="EN29" s="170"/>
      <c r="EO29" s="1317" t="s">
        <v>1029</v>
      </c>
      <c r="EP29" s="1317" t="s">
        <v>1030</v>
      </c>
      <c r="EQ29" s="1317" t="s">
        <v>1031</v>
      </c>
      <c r="ER29" s="1339">
        <v>3500</v>
      </c>
      <c r="ES29" s="1332"/>
      <c r="ET29" s="1520"/>
      <c r="EU29" s="1520"/>
      <c r="EV29" s="169"/>
      <c r="EW29" s="170"/>
      <c r="EX29" s="170"/>
      <c r="EY29" s="170"/>
    </row>
    <row r="30" spans="1:155" ht="14.25" customHeight="1" thickBot="1">
      <c r="A30" s="77" t="s">
        <v>5</v>
      </c>
      <c r="B30" s="78" t="s">
        <v>515</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nSUR7x4brr82OnPlZM6I0m2YP8iqB7ZFuAkuWHXXTU3DvOzWeZIGst4wCzwL0OIgqj1hfHDVW8RRKPGDHCPsOw==" saltValue="M9k7nWymJogEPvtq3AAW8g==" spinCount="100000" sheet="1" objects="1" scenarios="1"/>
  <mergeCells count="123">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BT6:BT7"/>
    <mergeCell ref="CE4:CH4"/>
    <mergeCell ref="CE5:CE7"/>
    <mergeCell ref="CH5:CH7"/>
    <mergeCell ref="CG5:CG7"/>
    <mergeCell ref="CF5:CF7"/>
    <mergeCell ref="BT5:BU5"/>
    <mergeCell ref="CB5:CB7"/>
    <mergeCell ref="BV5:BV7"/>
    <mergeCell ref="BX5:BX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BF4"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CATALUÑA</v>
      </c>
      <c r="F1" s="578"/>
    </row>
    <row r="2" spans="1:74" ht="16.5" customHeight="1">
      <c r="C2" s="567" t="str">
        <f>Criterios!A10 &amp;"  "&amp;Criterios!B10 &amp; "  " &amp; IF(NOT(ISBLANK(Criterios!A11)),Criterios!A11 &amp;"  "&amp;Criterios!B11,"")</f>
        <v>Provincias  LLEIDA  Resumenes por Partidos Judiciales  LLEIDA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68" t="s">
        <v>461</v>
      </c>
      <c r="B5" s="297"/>
      <c r="C5" s="1912" t="str">
        <f>"Año:  " &amp;Criterios!B$5 &amp; "          Trimestre   " &amp;Criterios!D$5 &amp; " al " &amp;Criterios!D$6</f>
        <v>Año:  2022          Trimestre   1 al 4</v>
      </c>
      <c r="D5" s="1885" t="s">
        <v>487</v>
      </c>
      <c r="E5" s="1885" t="s">
        <v>752</v>
      </c>
      <c r="F5" s="1914" t="s">
        <v>523</v>
      </c>
      <c r="G5" s="1885" t="s">
        <v>173</v>
      </c>
      <c r="H5" s="1885" t="s">
        <v>785</v>
      </c>
      <c r="I5" s="1885" t="s">
        <v>753</v>
      </c>
      <c r="J5" s="1885" t="s">
        <v>870</v>
      </c>
      <c r="K5" s="1885" t="s">
        <v>871</v>
      </c>
      <c r="L5" s="1885" t="s">
        <v>754</v>
      </c>
      <c r="M5" s="1885" t="s">
        <v>709</v>
      </c>
      <c r="N5" s="1885" t="s">
        <v>872</v>
      </c>
      <c r="O5" s="1917" t="s">
        <v>783</v>
      </c>
      <c r="P5" s="1885" t="s">
        <v>892</v>
      </c>
      <c r="Q5" s="1885" t="s">
        <v>886</v>
      </c>
      <c r="R5" s="1885" t="s">
        <v>225</v>
      </c>
      <c r="S5" s="1920" t="s">
        <v>882</v>
      </c>
      <c r="T5" s="1920" t="s">
        <v>885</v>
      </c>
      <c r="U5" s="1885" t="s">
        <v>786</v>
      </c>
      <c r="V5" s="1920" t="s">
        <v>755</v>
      </c>
      <c r="W5" s="1885" t="s">
        <v>1038</v>
      </c>
      <c r="X5" s="1885" t="s">
        <v>1039</v>
      </c>
      <c r="Y5" s="1888" t="s">
        <v>873</v>
      </c>
      <c r="Z5" s="1903" t="s">
        <v>811</v>
      </c>
      <c r="AA5" s="1906" t="s">
        <v>756</v>
      </c>
      <c r="AB5" s="1903" t="s">
        <v>757</v>
      </c>
      <c r="AC5" s="1903" t="s">
        <v>758</v>
      </c>
      <c r="AD5" s="1882" t="s">
        <v>874</v>
      </c>
      <c r="AE5" s="1882" t="s">
        <v>1066</v>
      </c>
      <c r="AF5" s="1885" t="s">
        <v>887</v>
      </c>
      <c r="AG5" s="1885" t="s">
        <v>710</v>
      </c>
      <c r="AH5" s="1885" t="s">
        <v>875</v>
      </c>
      <c r="AI5" s="1885" t="s">
        <v>236</v>
      </c>
      <c r="AJ5" s="1885" t="s">
        <v>942</v>
      </c>
      <c r="AK5" s="1885" t="s">
        <v>711</v>
      </c>
      <c r="AL5" s="1885" t="s">
        <v>712</v>
      </c>
      <c r="AM5" s="1885" t="s">
        <v>893</v>
      </c>
      <c r="AN5" s="1885" t="s">
        <v>713</v>
      </c>
      <c r="AO5" s="1885" t="s">
        <v>714</v>
      </c>
      <c r="AP5" s="1885" t="s">
        <v>715</v>
      </c>
      <c r="AQ5" s="1885" t="s">
        <v>716</v>
      </c>
      <c r="AR5" s="1885" t="s">
        <v>876</v>
      </c>
      <c r="AS5" s="1885" t="s">
        <v>239</v>
      </c>
      <c r="AT5" s="1891" t="s">
        <v>237</v>
      </c>
      <c r="AU5" s="1885" t="s">
        <v>888</v>
      </c>
      <c r="AV5" s="1894" t="s">
        <v>889</v>
      </c>
      <c r="AW5" s="1897" t="s">
        <v>718</v>
      </c>
      <c r="AX5" s="1885" t="s">
        <v>719</v>
      </c>
      <c r="AY5" s="1885" t="s">
        <v>809</v>
      </c>
      <c r="AZ5" s="1900" t="s">
        <v>810</v>
      </c>
      <c r="BA5" s="1885" t="s">
        <v>760</v>
      </c>
      <c r="BB5" s="1894" t="s">
        <v>761</v>
      </c>
      <c r="BC5" s="1897" t="s">
        <v>240</v>
      </c>
      <c r="BD5" s="1885" t="s">
        <v>762</v>
      </c>
      <c r="BE5" s="1885" t="s">
        <v>318</v>
      </c>
      <c r="BF5" s="1885" t="s">
        <v>319</v>
      </c>
      <c r="BG5" s="1885" t="s">
        <v>320</v>
      </c>
      <c r="BH5" s="1885" t="s">
        <v>763</v>
      </c>
      <c r="BI5" s="1885" t="s">
        <v>321</v>
      </c>
      <c r="BJ5" s="1885" t="s">
        <v>764</v>
      </c>
      <c r="BK5" s="1885" t="s">
        <v>779</v>
      </c>
      <c r="BL5" s="1885" t="s">
        <v>765</v>
      </c>
      <c r="BM5" s="1885" t="s">
        <v>766</v>
      </c>
      <c r="BN5" s="1885" t="s">
        <v>794</v>
      </c>
      <c r="BO5" s="1885" t="s">
        <v>787</v>
      </c>
      <c r="BP5" s="1885" t="s">
        <v>1120</v>
      </c>
      <c r="BQ5" s="1885" t="s">
        <v>1124</v>
      </c>
      <c r="BR5" s="1885" t="s">
        <v>1126</v>
      </c>
      <c r="BS5" s="1885" t="s">
        <v>788</v>
      </c>
      <c r="BT5" s="1885" t="s">
        <v>767</v>
      </c>
      <c r="BU5" s="1885" t="s">
        <v>717</v>
      </c>
      <c r="BV5" s="1909" t="s">
        <v>1040</v>
      </c>
    </row>
    <row r="6" spans="1:74" ht="21.75" customHeight="1">
      <c r="A6" s="1669"/>
      <c r="B6" s="298"/>
      <c r="C6" s="1913"/>
      <c r="D6" s="1886"/>
      <c r="E6" s="1886"/>
      <c r="F6" s="1915"/>
      <c r="G6" s="1886"/>
      <c r="H6" s="1886"/>
      <c r="I6" s="1886"/>
      <c r="J6" s="1886"/>
      <c r="K6" s="1886"/>
      <c r="L6" s="1886"/>
      <c r="M6" s="1886"/>
      <c r="N6" s="1886"/>
      <c r="O6" s="1918"/>
      <c r="P6" s="1886"/>
      <c r="Q6" s="1886"/>
      <c r="R6" s="1886"/>
      <c r="S6" s="1921"/>
      <c r="T6" s="1921"/>
      <c r="U6" s="1886"/>
      <c r="V6" s="1921"/>
      <c r="W6" s="1886"/>
      <c r="X6" s="1886"/>
      <c r="Y6" s="1889"/>
      <c r="Z6" s="1904"/>
      <c r="AA6" s="1907"/>
      <c r="AB6" s="1904"/>
      <c r="AC6" s="1904"/>
      <c r="AD6" s="1883"/>
      <c r="AE6" s="1883"/>
      <c r="AF6" s="1886"/>
      <c r="AG6" s="1886"/>
      <c r="AH6" s="1886"/>
      <c r="AI6" s="1886"/>
      <c r="AJ6" s="1886"/>
      <c r="AK6" s="1886"/>
      <c r="AL6" s="1886"/>
      <c r="AM6" s="1886"/>
      <c r="AN6" s="1886"/>
      <c r="AO6" s="1886"/>
      <c r="AP6" s="1886"/>
      <c r="AQ6" s="1886"/>
      <c r="AR6" s="1886"/>
      <c r="AS6" s="1886"/>
      <c r="AT6" s="1892"/>
      <c r="AU6" s="1886"/>
      <c r="AV6" s="1895"/>
      <c r="AW6" s="1898"/>
      <c r="AX6" s="1886"/>
      <c r="AY6" s="1886"/>
      <c r="AZ6" s="1901"/>
      <c r="BA6" s="1886"/>
      <c r="BB6" s="1895"/>
      <c r="BC6" s="1898"/>
      <c r="BD6" s="1886"/>
      <c r="BE6" s="1886"/>
      <c r="BF6" s="1886"/>
      <c r="BG6" s="1886"/>
      <c r="BH6" s="1886"/>
      <c r="BI6" s="1886"/>
      <c r="BJ6" s="1886"/>
      <c r="BK6" s="1886"/>
      <c r="BL6" s="1886"/>
      <c r="BM6" s="1886"/>
      <c r="BN6" s="1886"/>
      <c r="BO6" s="1886"/>
      <c r="BP6" s="1886"/>
      <c r="BQ6" s="1886"/>
      <c r="BR6" s="1886"/>
      <c r="BS6" s="1886"/>
      <c r="BT6" s="1886"/>
      <c r="BU6" s="1886"/>
      <c r="BV6" s="1910"/>
    </row>
    <row r="7" spans="1:74" ht="38.25" customHeight="1" thickBot="1">
      <c r="A7" s="1670"/>
      <c r="B7" s="299"/>
      <c r="C7" s="288" t="str">
        <f>Datos!A7</f>
        <v>COMPETENCIAS</v>
      </c>
      <c r="D7" s="1887"/>
      <c r="E7" s="1887"/>
      <c r="F7" s="1916"/>
      <c r="G7" s="1887"/>
      <c r="H7" s="1887"/>
      <c r="I7" s="1887"/>
      <c r="J7" s="1887"/>
      <c r="K7" s="1887"/>
      <c r="L7" s="1887"/>
      <c r="M7" s="1887"/>
      <c r="N7" s="1887"/>
      <c r="O7" s="1919"/>
      <c r="P7" s="1887"/>
      <c r="Q7" s="1887"/>
      <c r="R7" s="1887"/>
      <c r="S7" s="1922"/>
      <c r="T7" s="1922"/>
      <c r="U7" s="1887"/>
      <c r="V7" s="1922"/>
      <c r="W7" s="1887"/>
      <c r="X7" s="1887"/>
      <c r="Y7" s="1890"/>
      <c r="Z7" s="1905"/>
      <c r="AA7" s="1908"/>
      <c r="AB7" s="1905"/>
      <c r="AC7" s="1905"/>
      <c r="AD7" s="1884"/>
      <c r="AE7" s="1884"/>
      <c r="AF7" s="1887"/>
      <c r="AG7" s="1887"/>
      <c r="AH7" s="1887"/>
      <c r="AI7" s="1887"/>
      <c r="AJ7" s="1887"/>
      <c r="AK7" s="1887"/>
      <c r="AL7" s="1887"/>
      <c r="AM7" s="1887"/>
      <c r="AN7" s="1887"/>
      <c r="AO7" s="1887"/>
      <c r="AP7" s="1887"/>
      <c r="AQ7" s="1887"/>
      <c r="AR7" s="1887"/>
      <c r="AS7" s="1887"/>
      <c r="AT7" s="1893"/>
      <c r="AU7" s="1887"/>
      <c r="AV7" s="1896"/>
      <c r="AW7" s="1899"/>
      <c r="AX7" s="1887"/>
      <c r="AY7" s="1887"/>
      <c r="AZ7" s="1902"/>
      <c r="BA7" s="1887"/>
      <c r="BB7" s="1896"/>
      <c r="BC7" s="1899"/>
      <c r="BD7" s="1887"/>
      <c r="BE7" s="1887"/>
      <c r="BF7" s="1887"/>
      <c r="BG7" s="1887"/>
      <c r="BH7" s="1887"/>
      <c r="BI7" s="1887"/>
      <c r="BJ7" s="1887"/>
      <c r="BK7" s="1887"/>
      <c r="BL7" s="1887"/>
      <c r="BM7" s="1887"/>
      <c r="BN7" s="1887"/>
      <c r="BO7" s="1887"/>
      <c r="BP7" s="1887"/>
      <c r="BQ7" s="1887"/>
      <c r="BR7" s="1887"/>
      <c r="BS7" s="1887"/>
      <c r="BT7" s="1887"/>
      <c r="BU7" s="1887"/>
      <c r="BV7" s="1911"/>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7</v>
      </c>
      <c r="B9" s="745" t="s">
        <v>317</v>
      </c>
      <c r="C9" s="765" t="str">
        <f>Datos!A9</f>
        <v xml:space="preserve">Jdos. 1ª Instancia   </v>
      </c>
      <c r="D9" s="593"/>
      <c r="E9" s="764">
        <f>IF(ISNUMBER(Datos!AQ9),Datos!AQ9," - ")</f>
        <v>7</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f>IF(ISNUMBER(Datos!Z9),Datos!Z9," - ")</f>
        <v>443</v>
      </c>
      <c r="O9" s="549"/>
      <c r="P9" s="549"/>
      <c r="Q9" s="547">
        <f>IF(ISNUMBER(Datos!P9),Datos!P9,0)</f>
        <v>3028</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f>IF(ISNUMBER(Datos!Q9),Datos!Q9," - ")</f>
        <v>4306</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f>IF(ISNUMBER(Datos!AB9),Datos!AB9,"-")</f>
        <v>183</v>
      </c>
      <c r="AI9" s="549" t="str">
        <f>IF(ISNUMBER(Datos!CD9),Datos!CD9,"-")</f>
        <v>-</v>
      </c>
      <c r="AJ9" s="549" t="str">
        <f>IF(ISNUMBER(Datos!EN9),Datos!EN9," - ")</f>
        <v xml:space="preserve"> - </v>
      </c>
      <c r="AK9" s="549"/>
      <c r="AL9" s="550"/>
      <c r="AM9" s="766">
        <f>IF(ISNUMBER(Datos!R9),Datos!R9," - ")</f>
        <v>11202</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f>IF(ISNUMBER(Datos!M9),Datos!M9," - ")</f>
        <v>2986</v>
      </c>
      <c r="BD9" s="693">
        <f>IF(ISNUMBER(Datos!N9),Datos!N9," - ")</f>
        <v>5189</v>
      </c>
      <c r="BE9" s="693" t="str">
        <f>IF(ISNUMBER(Datos!BW9),Datos!BW9," - ")</f>
        <v xml:space="preserve"> - </v>
      </c>
      <c r="BF9" s="762" t="str">
        <f>IF(ISNUMBER(Datos!BX9),Datos!BX9," - ")</f>
        <v xml:space="preserve"> - </v>
      </c>
      <c r="BG9" s="763">
        <f>IF(ISNUMBER(IF(J_V="SI",Datos!K9/Datos!J9,(Datos!K9+Datos!AA9)/(Datos!J9+Datos!Z9))),IF(J_V="SI",Datos!K9/Datos!J9,(Datos!K9+Datos!AA9)/(Datos!J9+Datos!Z9))," - ")</f>
        <v>0.91623895067008843</v>
      </c>
      <c r="BH9" s="764">
        <f>IF(ISNUMBER(((IF(J_V="SI",Datos!L9/Datos!K9,(Datos!L9+Datos!AB9)/(Datos!K9+Datos!AA9)))*11)/factor_trimestre),((IF(J_V="SI",Datos!L9/Datos!K9,(Datos!L9+Datos!AB9)/(Datos!K9+Datos!AA9)))*11)/factor_trimestre," - ")</f>
        <v>5.930055240021785</v>
      </c>
      <c r="BI9" s="763"/>
      <c r="BJ9" s="555" t="str">
        <f>IF(ISNUMBER(Datos!CI9/Datos!CJ9),Datos!CI9/Datos!CJ9," - ")</f>
        <v xml:space="preserve"> - </v>
      </c>
      <c r="BK9" s="748" t="str">
        <f>IF(ISNUMBER(Datos!CJ9),Datos!CJ9," - ")</f>
        <v xml:space="preserve"> - </v>
      </c>
      <c r="BL9" s="555" t="str">
        <f>IF(ISNUMBER((J9-AB9+L9)/(F9)),(J9-AB9+L9)/(F9)," - ")</f>
        <v xml:space="preserve"> - </v>
      </c>
      <c r="BM9" s="767">
        <f>IF(ISNUMBER((Datos!P9-Datos!Q9+Datos!DE9)/(Datos!R9-Datos!P9+Datos!Q9-Datos!DE9)),(Datos!P9-Datos!Q9+Datos!DE9)/(Datos!R9-Datos!P9+Datos!Q9-Datos!DE9)," - ")</f>
        <v>-0.10240384615384615</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1200</v>
      </c>
    </row>
    <row r="10" spans="1:74" s="578" customFormat="1" ht="14.25">
      <c r="A10" s="745">
        <f>Datos!AO10</f>
        <v>1</v>
      </c>
      <c r="B10" s="746" t="s">
        <v>317</v>
      </c>
      <c r="C10" s="747" t="str">
        <f>Datos!A10</f>
        <v>Jdos. Violencia contra la mujer</v>
      </c>
      <c r="D10" s="601"/>
      <c r="E10" s="764">
        <f>IF(ISNUMBER(Datos!AQ10),Datos!AQ10," - ")</f>
        <v>1</v>
      </c>
      <c r="F10" s="552">
        <f>IF(ISNUMBER(Datos!L10+Datos!K10-Datos!J10),Datos!L10+Datos!K10-Datos!J10," - ")</f>
        <v>128</v>
      </c>
      <c r="G10" s="543">
        <f>IF(ISNUMBER(Datos!I10),Datos!I10," - ")</f>
        <v>128</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34</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197</v>
      </c>
      <c r="AC10" s="547">
        <f>IF(ISNUMBER(Datos!Q10),Datos!Q10," - ")</f>
        <v>39</v>
      </c>
      <c r="AD10" s="549"/>
      <c r="AE10" s="563"/>
      <c r="AF10" s="551">
        <f>IF(ISNUMBER(Datos!L10),Datos!L10,"-")</f>
        <v>159</v>
      </c>
      <c r="AG10" s="549"/>
      <c r="AH10" s="549"/>
      <c r="AI10" s="549"/>
      <c r="AJ10" s="549"/>
      <c r="AK10" s="549"/>
      <c r="AL10" s="550"/>
      <c r="AM10" s="766">
        <f>IF(ISNUMBER(Datos!R10),Datos!R10," - ")</f>
        <v>116</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71</v>
      </c>
      <c r="BD10" s="693">
        <f>IF(ISNUMBER(Datos!N10),Datos!N10," - ")</f>
        <v>93</v>
      </c>
      <c r="BE10" s="693" t="str">
        <f>IF(ISNUMBER(Datos!BW10),Datos!BW10," - ")</f>
        <v xml:space="preserve"> - </v>
      </c>
      <c r="BF10" s="762" t="str">
        <f>IF(ISNUMBER(Datos!BX10),Datos!BX10," - ")</f>
        <v xml:space="preserve"> - </v>
      </c>
      <c r="BG10" s="763">
        <f>IF(ISNUMBER(Datos!K10/Datos!J10),Datos!K10/Datos!J10," - ")</f>
        <v>0.86403508771929827</v>
      </c>
      <c r="BH10" s="764">
        <f>IF(ISNUMBER(((Datos!L10/Datos!K10)*11)/factor_trimestre),((Datos!L10/Datos!K10)*11)/factor_trimestre," - ")</f>
        <v>8.8781725888324878</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-4.1322314049586778E-2</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1600</v>
      </c>
    </row>
    <row r="11" spans="1:74" s="578" customFormat="1" ht="14.25">
      <c r="A11" s="745">
        <f>Datos!AO11</f>
        <v>2</v>
      </c>
      <c r="B11" s="746" t="s">
        <v>317</v>
      </c>
      <c r="C11" s="747" t="str">
        <f>Datos!A11</f>
        <v xml:space="preserve">Jdos. Familia                                   </v>
      </c>
      <c r="D11" s="601"/>
      <c r="E11" s="764">
        <f>IF(ISNUMBER(Datos!AQ11),Datos!AQ11," - ")</f>
        <v>2</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f>IF(ISNUMBER(Datos!Z11),Datos!Z11," - ")</f>
        <v>1029</v>
      </c>
      <c r="O11" s="549"/>
      <c r="P11" s="549"/>
      <c r="Q11" s="547">
        <f>IF(ISNUMBER(Datos!P11),Datos!P11,0)</f>
        <v>237</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f>IF(ISNUMBER(Datos!Q11),Datos!Q11," - ")</f>
        <v>195</v>
      </c>
      <c r="AD11" s="549"/>
      <c r="AE11" s="563"/>
      <c r="AF11" s="551" t="str">
        <f>IF(ISNUMBER(IF(J_V="SI",Datos!L11,Datos!L11+Datos!AB11)-IF(Monitorios="SI",Datos!CD11,0)),
                          IF(J_V="SI",Datos!L11,Datos!L11+Datos!AB11)-IF(Monitorios="SI",Datos!CD11,0),
                          " - ")</f>
        <v xml:space="preserve"> - </v>
      </c>
      <c r="AG11" s="549"/>
      <c r="AH11" s="549">
        <f>IF(ISNUMBER(Datos!AB11),Datos!AB11,"-")</f>
        <v>81</v>
      </c>
      <c r="AI11" s="549"/>
      <c r="AJ11" s="549"/>
      <c r="AK11" s="549"/>
      <c r="AL11" s="550"/>
      <c r="AM11" s="766">
        <f>IF(ISNUMBER(Datos!R11),Datos!R11," - ")</f>
        <v>776</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f>IF(ISNUMBER(Datos!M11),Datos!M11," - ")</f>
        <v>574</v>
      </c>
      <c r="BD11" s="693">
        <f>IF(ISNUMBER(Datos!N11),Datos!N11," - ")</f>
        <v>1490</v>
      </c>
      <c r="BE11" s="693" t="str">
        <f>IF(ISNUMBER(Datos!BW11),Datos!BW11," - ")</f>
        <v xml:space="preserve"> - </v>
      </c>
      <c r="BF11" s="762" t="str">
        <f>IF(ISNUMBER(Datos!BX11),Datos!BX11," - ")</f>
        <v xml:space="preserve"> - </v>
      </c>
      <c r="BG11" s="763">
        <f>IF(ISNUMBER(IF(J_V="SI",Datos!K11/Datos!J11,(Datos!K11+Datos!AA11)/(Datos!J11+Datos!Z11))),IF(J_V="SI",Datos!K11/Datos!J11,(Datos!K11+Datos!AA11)/(Datos!J11+Datos!Z11))," - ")</f>
        <v>1.0244210526315789</v>
      </c>
      <c r="BH11" s="764">
        <f>IF(ISNUMBER(((IF(J_V="SI",Datos!L11/Datos!K11,(Datos!L11+Datos!AB11)/(Datos!K11+Datos!AA11)))*11)/factor_trimestre),((IF(J_V="SI",Datos!L11/Datos!K11,(Datos!L11+Datos!AB11)/(Datos!K11+Datos!AA11)))*11)/factor_trimestre," - ")</f>
        <v>4.019317714755446</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f>IF(ISNUMBER((Datos!P11-Datos!Q11+Datos!DE11)/(Datos!R11-Datos!P11+Datos!Q11-Datos!DE11)),(Datos!P11-Datos!Q11+Datos!DE11)/(Datos!R11-Datos!P11+Datos!Q11-Datos!DE11)," - ")</f>
        <v>5.7220708446866483E-2</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1323</v>
      </c>
    </row>
    <row r="12" spans="1:74" s="578" customFormat="1" ht="14.25">
      <c r="A12" s="745">
        <f>Datos!AO12</f>
        <v>0</v>
      </c>
      <c r="B12" s="746" t="s">
        <v>317</v>
      </c>
      <c r="C12" s="747" t="str">
        <f>Datos!A12</f>
        <v xml:space="preserve">Jdos. 1ª Instª. e Instr.                        </v>
      </c>
      <c r="D12" s="601"/>
      <c r="E12" s="764">
        <f>IF(ISNUMBER(Datos!AQ12),Datos!AQ12," - ")</f>
        <v>0</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0</v>
      </c>
      <c r="O12" s="549"/>
      <c r="P12" s="549"/>
      <c r="Q12" s="547">
        <f>IF(ISNUMBER(Datos!P12),Datos!P12,0)</f>
        <v>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18</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0</v>
      </c>
      <c r="AI12" s="549" t="str">
        <f>IF(ISNUMBER(Datos!CD12),Datos!CD12,"-")</f>
        <v>-</v>
      </c>
      <c r="AJ12" s="549" t="str">
        <f>IF(ISNUMBER(Datos!EN12),Datos!EN12," - ")</f>
        <v xml:space="preserve"> - </v>
      </c>
      <c r="AK12" s="549"/>
      <c r="AL12" s="550"/>
      <c r="AM12" s="766">
        <f>IF(ISNUMBER(Datos!R12),Datos!R12," - ")</f>
        <v>260</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0</v>
      </c>
      <c r="BD12" s="693">
        <f>IF(ISNUMBER(Datos!N12),Datos!N12," - ")</f>
        <v>0</v>
      </c>
      <c r="BE12" s="693" t="str">
        <f>IF(ISNUMBER(Datos!BW12),Datos!BW12," - ")</f>
        <v xml:space="preserve"> - </v>
      </c>
      <c r="BF12" s="762" t="str">
        <f>IF(ISNUMBER(Datos!BX12),Datos!BX12," - ")</f>
        <v xml:space="preserve"> - </v>
      </c>
      <c r="BG12" s="763" t="str">
        <f>IF(ISNUMBER(IF(J_V="SI",Datos!K12/Datos!J12,(Datos!K12+Datos!AA12)/(Datos!J12+Datos!Z12))),IF(J_V="SI",Datos!K12/Datos!J12,(Datos!K12+Datos!AA12)/(Datos!J12+Datos!Z12))," - ")</f>
        <v xml:space="preserve"> - </v>
      </c>
      <c r="BH12" s="764" t="str">
        <f>IF(ISNUMBER(((IF(J_V="SI",Datos!L12/Datos!K12,(Datos!L12+Datos!AB12)/(Datos!K12+Datos!AA12)))*11)/factor_trimestre),((IF(J_V="SI",Datos!L12/Datos!K12,(Datos!L12+Datos!AB12)/(Datos!K12+Datos!AA12)))*11)/factor_trimestre," - ")</f>
        <v xml:space="preserve"> - </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-6.4748201438848921E-2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680</v>
      </c>
    </row>
    <row r="13" spans="1:74" s="578" customFormat="1" ht="15" thickBot="1">
      <c r="A13" s="745">
        <f>Datos!AO13</f>
        <v>0</v>
      </c>
      <c r="B13" s="746" t="s">
        <v>317</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875</v>
      </c>
    </row>
    <row r="14" spans="1:74" ht="15.75" thickTop="1" thickBot="1">
      <c r="A14" s="191"/>
      <c r="B14" s="191"/>
      <c r="C14" s="1160" t="str">
        <f>Datos!A14</f>
        <v>TOTAL</v>
      </c>
      <c r="D14" s="1196"/>
      <c r="E14" s="1554">
        <f t="shared" ref="E14:Z14" si="1">SUBTOTAL(9,E8:E13)</f>
        <v>10</v>
      </c>
      <c r="F14" s="1197">
        <f t="shared" si="1"/>
        <v>128</v>
      </c>
      <c r="G14" s="1197">
        <f t="shared" si="1"/>
        <v>128</v>
      </c>
      <c r="H14" s="1198">
        <f t="shared" si="1"/>
        <v>0</v>
      </c>
      <c r="I14" s="1197">
        <f t="shared" si="1"/>
        <v>0</v>
      </c>
      <c r="J14" s="1164">
        <f t="shared" si="1"/>
        <v>0</v>
      </c>
      <c r="K14" s="1164">
        <f t="shared" si="1"/>
        <v>0</v>
      </c>
      <c r="L14" s="1198">
        <f t="shared" si="1"/>
        <v>0</v>
      </c>
      <c r="M14" s="1198">
        <f t="shared" si="1"/>
        <v>0</v>
      </c>
      <c r="N14" s="1198">
        <f t="shared" si="1"/>
        <v>1472</v>
      </c>
      <c r="O14" s="1199">
        <f t="shared" si="1"/>
        <v>0</v>
      </c>
      <c r="P14" s="1199">
        <f t="shared" si="1"/>
        <v>0</v>
      </c>
      <c r="Q14" s="1198">
        <f t="shared" si="1"/>
        <v>3299</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197</v>
      </c>
      <c r="AC14" s="1198">
        <f t="shared" si="2"/>
        <v>4558</v>
      </c>
      <c r="AD14" s="1198">
        <f t="shared" si="2"/>
        <v>0</v>
      </c>
      <c r="AE14" s="1198">
        <f t="shared" si="2"/>
        <v>0</v>
      </c>
      <c r="AF14" s="1198">
        <f t="shared" si="2"/>
        <v>159</v>
      </c>
      <c r="AG14" s="1198">
        <f t="shared" si="2"/>
        <v>0</v>
      </c>
      <c r="AH14" s="1198">
        <f t="shared" si="2"/>
        <v>264</v>
      </c>
      <c r="AI14" s="1198">
        <f t="shared" si="2"/>
        <v>0</v>
      </c>
      <c r="AJ14" s="1198">
        <f t="shared" si="2"/>
        <v>0</v>
      </c>
      <c r="AK14" s="1198">
        <f t="shared" si="2"/>
        <v>0</v>
      </c>
      <c r="AL14" s="1198">
        <f t="shared" si="2"/>
        <v>0</v>
      </c>
      <c r="AM14" s="1198">
        <f t="shared" si="2"/>
        <v>12354</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3631</v>
      </c>
      <c r="BD14" s="1198">
        <f t="shared" si="2"/>
        <v>6772</v>
      </c>
      <c r="BE14" s="1198">
        <f t="shared" si="2"/>
        <v>0</v>
      </c>
      <c r="BF14" s="1198">
        <f t="shared" si="2"/>
        <v>0</v>
      </c>
      <c r="BG14" s="1198">
        <f>IF(ISNUMBER(Datos!K14/Datos!J14),Datos!K14/Datos!J14," - ")</f>
        <v>0.92486311761989581</v>
      </c>
      <c r="BH14" s="1202">
        <f>IF(ISNUMBER(((Datos!L14/Datos!K14)*11)/factor_trimestre),((Datos!L14/Datos!K14)*11)/factor_trimestre," - ")</f>
        <v>6.0523537803138376</v>
      </c>
      <c r="BI14" s="1198">
        <f>IF(ISNUMBER('Resol  Asuntos'!D14/NºAsuntos!G14),'Resol  Asuntos'!D14/NºAsuntos!G14," - ")</f>
        <v>0.23451527481754181</v>
      </c>
      <c r="BJ14" s="1198" t="str">
        <f>IF(ISNUMBER(Datos!CI14/Datos!CJ14),Datos!CI14/Datos!CJ14," - ")</f>
        <v xml:space="preserve"> - </v>
      </c>
      <c r="BK14" s="1198">
        <f>SUBTOTAL(9,BK8:BK13)</f>
        <v>0</v>
      </c>
      <c r="BL14" s="1198">
        <f>IF(ISNUMBER((I14-AB14+L14)/(F14)),(I14-AB14+L14)/(F14)," - ")</f>
        <v>-1.5390625</v>
      </c>
      <c r="BM14" s="1203">
        <f>SUBTOTAL(9,BM9:BM13)</f>
        <v>-0.15125365319541537</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5678</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4</v>
      </c>
      <c r="B16" s="737" t="s">
        <v>507</v>
      </c>
      <c r="C16" s="749" t="str">
        <f>Datos!A16</f>
        <v xml:space="preserve">Jdos. Instrucción                               </v>
      </c>
      <c r="D16" s="750"/>
      <c r="E16" s="1555">
        <f>IF(ISNUMBER(Datos!AQ16),Datos!AQ16," - ")</f>
        <v>4</v>
      </c>
      <c r="F16" s="740">
        <f>IF(ISNUMBER(AF16+AB16-Datos!J16-L16),AF16+AB16-Datos!J16-L16," - ")</f>
        <v>4752</v>
      </c>
      <c r="G16" s="743">
        <f>IF(ISNUMBER(IF(D_I="SI",Datos!I16,Datos!I16+Datos!AC16)),IF(D_I="SI",Datos!I16,Datos!I16+Datos!AC16)," - ")</f>
        <v>4590</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574</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f>IF(ISNUMBER(IF(D_I="SI",Datos!K16,Datos!K16+Datos!AE16)),IF(D_I="SI",Datos!K16,Datos!K16+Datos!AE16)," - ")</f>
        <v>15842</v>
      </c>
      <c r="AC16" s="240">
        <f>IF(ISNUMBER(Datos!Q16),Datos!Q16," - ")</f>
        <v>482</v>
      </c>
      <c r="AD16" s="374"/>
      <c r="AE16" s="562"/>
      <c r="AF16" s="741">
        <f>IF(ISNUMBER(IF(D_I="SI",Datos!L16,Datos!L16+Datos!AF16)),IF(D_I="SI",Datos!L16,Datos!L16+Datos!AF16)," - ")</f>
        <v>5276</v>
      </c>
      <c r="AG16" s="374"/>
      <c r="AH16" s="374"/>
      <c r="AI16" s="374"/>
      <c r="AJ16" s="549"/>
      <c r="AK16" s="374"/>
      <c r="AL16" s="545"/>
      <c r="AM16" s="375">
        <f>IF(ISNUMBER(Datos!R16),Datos!R16," - ")</f>
        <v>557</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f>IF(ISNUMBER(Datos!M16),Datos!M16," - ")</f>
        <v>2236</v>
      </c>
      <c r="BD16" s="243">
        <f>IF(ISNUMBER(Datos!N16),Datos!N16," - ")</f>
        <v>10558</v>
      </c>
      <c r="BE16" s="243" t="str">
        <f>IF(ISNUMBER(Datos!BW16),Datos!BW16," - ")</f>
        <v xml:space="preserve"> - </v>
      </c>
      <c r="BF16" s="242" t="str">
        <f>IF(ISNUMBER(Datos!BX16),Datos!BX16," - ")</f>
        <v xml:space="preserve"> - </v>
      </c>
      <c r="BG16" s="763">
        <f>IF(ISNUMBER(IF(D_I="SI",Datos!K16/Datos!J16,(Datos!K16+Datos!AE16)/(Datos!J16+Datos!AD16))),IF(D_I="SI",Datos!K16/Datos!J16,(Datos!K16+Datos!AE16)/(Datos!J16+Datos!AD16))," - ")</f>
        <v>0.96798240254185508</v>
      </c>
      <c r="BH16" s="764">
        <f>IF(ISNUMBER(((IF(D_I="SI",Datos!L16/Datos!K16,(Datos!L16+Datos!AF16)/(Datos!K16+Datos!AE16)))*11)/factor_trimestre),((IF(D_I="SI",Datos!L16/Datos!K16,(Datos!L16+Datos!AF16)/(Datos!K16+Datos!AE16)))*11)/factor_trimestre," - ")</f>
        <v>3.6634263350587046</v>
      </c>
      <c r="BI16" s="266">
        <f>IF(ISNUMBER('Resol  Asuntos'!D16/NºAsuntos!G16),'Resol  Asuntos'!D16/NºAsuntos!G16," - ")</f>
        <v>0.1411437949753819</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3300</v>
      </c>
    </row>
    <row r="17" spans="1:74" s="744" customFormat="1" ht="14.25">
      <c r="A17" s="736">
        <f>Datos!AO17</f>
        <v>0</v>
      </c>
      <c r="B17" s="737" t="s">
        <v>507</v>
      </c>
      <c r="C17" s="749" t="str">
        <f>Datos!A17</f>
        <v xml:space="preserve">Jdos. 1ª Instª. e Instr.                        </v>
      </c>
      <c r="D17" s="750"/>
      <c r="E17" s="1555">
        <f>IF(ISNUMBER(Datos!AQ17),Datos!AQ17," - ")</f>
        <v>0</v>
      </c>
      <c r="F17" s="740" t="str">
        <f>IF(ISNUMBER(AF17+AB17-Datos!J17-L17),AF17+AB17-Datos!J17-L17," - ")</f>
        <v xml:space="preserve"> - </v>
      </c>
      <c r="G17" s="743" t="str">
        <f>IF(ISNUMBER(IF(D_I="SI",Datos!I17,Datos!I17+Datos!AC17)),IF(D_I="SI",Datos!I17,Datos!I17+Datos!AC17)," - ")</f>
        <v xml:space="preserve"> - </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0</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t="str">
        <f>IF(ISNUMBER(IF(D_I="SI",Datos!K17,Datos!K17+Datos!AE17)),IF(D_I="SI",Datos!K17,Datos!K17+Datos!AE17)," - ")</f>
        <v xml:space="preserve"> - </v>
      </c>
      <c r="AC17" s="240" t="str">
        <f>IF(ISNUMBER(Datos!Q17),Datos!Q17," - ")</f>
        <v xml:space="preserve"> - </v>
      </c>
      <c r="AD17" s="374"/>
      <c r="AE17" s="562"/>
      <c r="AF17" s="741" t="str">
        <f>IF(ISNUMBER(IF(D_I="SI",Datos!L17,Datos!L17+Datos!AF17)),IF(D_I="SI",Datos!L17,Datos!L17+Datos!AF17)," - ")</f>
        <v xml:space="preserve"> - </v>
      </c>
      <c r="AG17" s="374"/>
      <c r="AH17" s="374"/>
      <c r="AI17" s="374"/>
      <c r="AJ17" s="549"/>
      <c r="AK17" s="374"/>
      <c r="AL17" s="545"/>
      <c r="AM17" s="375" t="str">
        <f>IF(ISNUMBER(Datos!R17),Datos!R17," - ")</f>
        <v xml:space="preserve"> - </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t="str">
        <f>IF(ISNUMBER(Datos!M17),Datos!M17," - ")</f>
        <v xml:space="preserve"> - </v>
      </c>
      <c r="BD17" s="243" t="str">
        <f>IF(ISNUMBER(Datos!N17),Datos!N17," - ")</f>
        <v xml:space="preserve"> - </v>
      </c>
      <c r="BE17" s="243" t="str">
        <f>IF(ISNUMBER(Datos!BW17),Datos!BW17," - ")</f>
        <v xml:space="preserve"> - </v>
      </c>
      <c r="BF17" s="242" t="str">
        <f>IF(ISNUMBER(Datos!BX17),Datos!BX17," - ")</f>
        <v xml:space="preserve"> - </v>
      </c>
      <c r="BG17" s="763" t="str">
        <f>IF(ISNUMBER(IF(D_I="SI",Datos!K17/Datos!J17,(Datos!K17+Datos!AE17)/(Datos!J17+Datos!AD17))),IF(D_I="SI",Datos!K17/Datos!J17,(Datos!K17+Datos!AE17)/(Datos!J17+Datos!AD17))," - ")</f>
        <v xml:space="preserve"> - </v>
      </c>
      <c r="BH17" s="764" t="str">
        <f>IF(ISNUMBER(((IF(D_I="SI",Datos!L17/Datos!K17,(Datos!L17+Datos!AF17)/(Datos!K17+Datos!AE17)))*11)/factor_trimestre),((IF(D_I="SI",Datos!L17/Datos!K17,(Datos!L17+Datos!AF17)/(Datos!K17+Datos!AE17)))*11)/factor_trimestre," - ")</f>
        <v xml:space="preserve"> - </v>
      </c>
      <c r="BI17" s="266" t="str">
        <f>IF(ISNUMBER('Resol  Asuntos'!D17/NºAsuntos!G17),'Resol  Asuntos'!D17/NºAsuntos!G17," - ")</f>
        <v xml:space="preserve"> - </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1000</v>
      </c>
    </row>
    <row r="18" spans="1:74" s="578" customFormat="1" ht="14.25">
      <c r="A18" s="745">
        <f>Datos!AO18</f>
        <v>1</v>
      </c>
      <c r="B18" s="746" t="s">
        <v>507</v>
      </c>
      <c r="C18" s="747" t="str">
        <f>Datos!A18</f>
        <v>Jdos. Violencia contra la mujer</v>
      </c>
      <c r="D18" s="601"/>
      <c r="E18" s="1380">
        <f>IF(ISNUMBER(Datos!AQ18),Datos!AQ18," - ")</f>
        <v>1</v>
      </c>
      <c r="F18" s="552" t="str">
        <f>IF(ISNUMBER(AF18+AB18-I18-L18),AF18+AB18-I18-L18," - ")</f>
        <v xml:space="preserve"> - </v>
      </c>
      <c r="G18" s="543">
        <f>IF(ISNUMBER(IF(D_I="SI",Datos!I18,Datos!I18+Datos!AC18)),IF(D_I="SI",Datos!I18,Datos!I18+Datos!AC18)," - ")</f>
        <v>166</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21</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1547</v>
      </c>
      <c r="AC18" s="547">
        <f>IF(ISNUMBER(Datos!Q18),Datos!Q18," - ")</f>
        <v>40</v>
      </c>
      <c r="AD18" s="549"/>
      <c r="AE18" s="562"/>
      <c r="AF18" s="551">
        <f>IF(ISNUMBER(Datos!L18),Datos!L18,"-")</f>
        <v>225</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266</v>
      </c>
      <c r="BD18" s="693">
        <f>IF(ISNUMBER(Datos!N18),Datos!N18," - ")</f>
        <v>739</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0.96326276463262761</v>
      </c>
      <c r="BH18" s="764">
        <f>IF(ISNUMBER(((IF(D_I="SI",Datos!L18/Datos!K18,(Datos!L18+Datos!AF18)/(Datos!K18+Datos!AE18)))*11)/factor_trimestre),((IF(D_I="SI",Datos!L18/Datos!K18,(Datos!L18+Datos!AF18)/(Datos!K18+Datos!AE18)))*11)/factor_trimestre," - ")</f>
        <v>1.5998707175177764</v>
      </c>
      <c r="BI18" s="763">
        <f>IF(ISNUMBER('Resol  Asuntos'!D18/NºAsuntos!G18),'Resol  Asuntos'!D18/NºAsuntos!G18," - ")</f>
        <v>0.17194570135746606</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1600</v>
      </c>
    </row>
    <row r="19" spans="1:74" s="578" customFormat="1" ht="14.25">
      <c r="A19" s="745">
        <f>Datos!AO19</f>
        <v>0</v>
      </c>
      <c r="B19" s="746" t="s">
        <v>507</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875</v>
      </c>
    </row>
    <row r="20" spans="1:74" s="744" customFormat="1" ht="14.25">
      <c r="A20" s="736">
        <f>Datos!AO20</f>
        <v>0</v>
      </c>
      <c r="B20" s="737" t="s">
        <v>507</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5240</v>
      </c>
    </row>
    <row r="21" spans="1:74" s="578" customFormat="1" ht="14.25">
      <c r="A21" s="745">
        <f>Datos!AO21</f>
        <v>0</v>
      </c>
      <c r="B21" s="746" t="s">
        <v>507</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400</v>
      </c>
    </row>
    <row r="22" spans="1:74" s="578" customFormat="1" ht="15" thickBot="1">
      <c r="A22" s="745">
        <f>Datos!AO22</f>
        <v>0</v>
      </c>
      <c r="B22" s="746" t="s">
        <v>507</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2400</v>
      </c>
    </row>
    <row r="23" spans="1:74" ht="15.75" thickTop="1" thickBot="1">
      <c r="A23" s="191"/>
      <c r="B23" s="191"/>
      <c r="C23" s="1160" t="str">
        <f>Datos!A23</f>
        <v>TOTAL</v>
      </c>
      <c r="D23" s="1196"/>
      <c r="E23" s="1554">
        <f>SUBTOTAL(9,E16:E22)</f>
        <v>5</v>
      </c>
      <c r="F23" s="1197">
        <f>SUBTOTAL(9,F16:F22)</f>
        <v>4752</v>
      </c>
      <c r="G23" s="1197">
        <f>SUBTOTAL(9,G16:G22)</f>
        <v>4756</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595</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17389</v>
      </c>
      <c r="AC23" s="1198">
        <f t="shared" si="5"/>
        <v>522</v>
      </c>
      <c r="AD23" s="1198">
        <f t="shared" si="5"/>
        <v>0</v>
      </c>
      <c r="AE23" s="1198">
        <f t="shared" si="5"/>
        <v>0</v>
      </c>
      <c r="AF23" s="1198">
        <f t="shared" si="5"/>
        <v>5501</v>
      </c>
      <c r="AG23" s="1198">
        <f t="shared" si="5"/>
        <v>0</v>
      </c>
      <c r="AH23" s="1198">
        <f t="shared" si="5"/>
        <v>0</v>
      </c>
      <c r="AI23" s="1198">
        <f t="shared" si="5"/>
        <v>0</v>
      </c>
      <c r="AJ23" s="1198">
        <f t="shared" si="5"/>
        <v>0</v>
      </c>
      <c r="AK23" s="1198">
        <f t="shared" si="5"/>
        <v>0</v>
      </c>
      <c r="AL23" s="1198">
        <f t="shared" si="5"/>
        <v>0</v>
      </c>
      <c r="AM23" s="1198">
        <f t="shared" si="5"/>
        <v>557</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2502</v>
      </c>
      <c r="BD23" s="1198">
        <f t="shared" si="5"/>
        <v>11297</v>
      </c>
      <c r="BE23" s="1198">
        <f t="shared" si="5"/>
        <v>0</v>
      </c>
      <c r="BF23" s="1198">
        <f t="shared" si="5"/>
        <v>0</v>
      </c>
      <c r="BG23" s="1198">
        <f>IF(ISNUMBER(Datos!K23/Datos!J23),Datos!K23/Datos!J23," - ")</f>
        <v>0.96756064989984425</v>
      </c>
      <c r="BH23" s="1202">
        <f>IF(ISNUMBER(((Datos!L23/Datos!K23)*11)/factor_trimestre),((Datos!L23/Datos!K23)*11)/factor_trimestre," - ")</f>
        <v>3.4798435792742541</v>
      </c>
      <c r="BI23" s="1198">
        <f>SUBTOTAL(9,BI16:BI22)</f>
        <v>0.31308949633284799</v>
      </c>
      <c r="BJ23" s="1198">
        <f>SUBTOTAL(9,BJ16:BJ22)</f>
        <v>0</v>
      </c>
      <c r="BK23" s="1198">
        <f>SUBTOTAL(9,BK16:BK22)</f>
        <v>0</v>
      </c>
      <c r="BL23" s="1198">
        <f>IF(ISNUMBER((I23-AB23+L23)/(F23)),(I23-AB23+L23)/(F23)," - ")</f>
        <v>-3.6593013468013469</v>
      </c>
      <c r="BM23" s="1205">
        <f>IF(ISNUMBER((Datos!P23-Datos!Q23)/(Datos!R23-Datos!P23+Datos!Q23)),(Datos!P23-Datos!Q23)/(Datos!R23-Datos!P23+Datos!Q23)," - ")</f>
        <v>0.15082644628099173</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14815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508</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570</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570</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509</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800</v>
      </c>
    </row>
    <row r="29" spans="1:74" ht="15" thickBot="1">
      <c r="A29" s="592">
        <f>Datos!AO29</f>
        <v>0</v>
      </c>
      <c r="B29" s="600" t="s">
        <v>509</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3500</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4870</v>
      </c>
    </row>
    <row r="31" spans="1:74" ht="18.75" customHeight="1" thickTop="1" thickBot="1">
      <c r="A31" s="185"/>
      <c r="B31" s="185"/>
      <c r="C31" s="1115" t="str">
        <f>Datos!A31</f>
        <v>TOTAL JURISDICCIONES</v>
      </c>
      <c r="D31" s="1115"/>
      <c r="E31" s="1556">
        <f t="shared" ref="E31:R31" si="18">SUBTOTAL(9,E9:E30)</f>
        <v>15</v>
      </c>
      <c r="F31" s="1117">
        <f t="shared" si="18"/>
        <v>4880</v>
      </c>
      <c r="G31" s="1117">
        <f t="shared" si="18"/>
        <v>4884</v>
      </c>
      <c r="H31" s="1119">
        <f t="shared" si="18"/>
        <v>0</v>
      </c>
      <c r="I31" s="1117">
        <f t="shared" si="18"/>
        <v>0</v>
      </c>
      <c r="J31" s="1119">
        <f t="shared" si="18"/>
        <v>0</v>
      </c>
      <c r="K31" s="1119">
        <f t="shared" si="18"/>
        <v>0</v>
      </c>
      <c r="L31" s="1180">
        <f t="shared" si="18"/>
        <v>0</v>
      </c>
      <c r="M31" s="1180">
        <f t="shared" si="18"/>
        <v>0</v>
      </c>
      <c r="N31" s="1180">
        <f t="shared" si="18"/>
        <v>1472</v>
      </c>
      <c r="O31" s="1180">
        <f t="shared" si="18"/>
        <v>0</v>
      </c>
      <c r="P31" s="1180">
        <f t="shared" si="18"/>
        <v>0</v>
      </c>
      <c r="Q31" s="1119">
        <f t="shared" si="18"/>
        <v>3894</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17586</v>
      </c>
      <c r="AC31" s="1118">
        <f t="shared" si="19"/>
        <v>5080</v>
      </c>
      <c r="AD31" s="1118">
        <f t="shared" si="19"/>
        <v>0</v>
      </c>
      <c r="AE31" s="1118">
        <f t="shared" si="19"/>
        <v>0</v>
      </c>
      <c r="AF31" s="1125">
        <f t="shared" si="19"/>
        <v>5660</v>
      </c>
      <c r="AG31" s="1125">
        <f t="shared" si="19"/>
        <v>0</v>
      </c>
      <c r="AH31" s="1125">
        <f t="shared" si="19"/>
        <v>264</v>
      </c>
      <c r="AI31" s="1125">
        <f t="shared" si="19"/>
        <v>0</v>
      </c>
      <c r="AJ31" s="1118">
        <f t="shared" si="19"/>
        <v>0</v>
      </c>
      <c r="AK31" s="1125">
        <f t="shared" si="19"/>
        <v>0</v>
      </c>
      <c r="AL31" s="1125">
        <f t="shared" si="19"/>
        <v>0</v>
      </c>
      <c r="AM31" s="1125">
        <f t="shared" si="19"/>
        <v>12911</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6133</v>
      </c>
      <c r="BD31" s="1117">
        <f t="shared" si="19"/>
        <v>18069</v>
      </c>
      <c r="BE31" s="1117">
        <f t="shared" si="19"/>
        <v>0</v>
      </c>
      <c r="BF31" s="1127">
        <f t="shared" si="19"/>
        <v>0</v>
      </c>
      <c r="BG31" s="1223">
        <f>IF(ISNUMBER(Datos!K31/Datos!J31),Datos!K31/Datos!J31," - ")</f>
        <v>0.94802450876822308</v>
      </c>
      <c r="BH31" s="1223">
        <f>IF(ISNUMBER(((Datos!L31/Datos!K31)*11)/factor_trimestre),((Datos!L31/Datos!K31)*11)/factor_trimestre," - ")</f>
        <v>4.6281320640580725</v>
      </c>
      <c r="BI31" s="1103">
        <f>IF(ISNUMBER(Datos!J31/Datos!I31),Datos!J31/Datos!I31," - ")</f>
        <v>2.9689936374227082</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-3.6036885245901638</v>
      </c>
      <c r="BM31" s="1188">
        <f>IF(ISNUMBER((Datos!P31-Datos!Q31+R31)/(Datos!R31-Datos!P31+Datos!Q31-R31)),(Datos!P31-Datos!Q31+R31)/(Datos!R31-Datos!P31+Datos!Q31-R31)," - ")</f>
        <v>-8.413137546995815E-2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25363</v>
      </c>
    </row>
    <row r="32" spans="1:74" ht="18.75" customHeight="1" thickTop="1" thickBot="1">
      <c r="A32" s="180"/>
      <c r="B32" s="180"/>
      <c r="C32" s="1135" t="s">
        <v>337</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1395.4285714285713</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338</v>
      </c>
      <c r="D33" s="558"/>
      <c r="E33" s="634">
        <f>IF(ISNUMBER(STDEV(E8:E30)),STDEV(E8:E30),"-")</f>
        <v>2.8735535390036615</v>
      </c>
      <c r="F33" s="673">
        <f>IF(ISNUMBER(STDEV(F8:F30)),STDEV(F8:F30),"-")</f>
        <v>2421.5494764027985</v>
      </c>
      <c r="G33" s="674">
        <f>IF(ISNUMBER(STDEV(G8:G30)),STDEV(G8:G30),"-")</f>
        <v>2240.4394551919836</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7948.7198729762531</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1442.2149015393725</v>
      </c>
      <c r="BD33" s="673"/>
      <c r="BE33" s="673">
        <f>IF(ISNUMBER(STDEV(BE8:BE30)),STDEV(BE8:BE30),"-")</f>
        <v>0</v>
      </c>
      <c r="BF33" s="678">
        <f>IF(ISNUMBER(STDEV(BF8:BF30)),STDEV(BF8:BF30),"-")</f>
        <v>0</v>
      </c>
      <c r="BG33" s="1052">
        <f>IF(ISNUMBER(STDEV(BG8:BG30)),STDEV(BG8:BG30),"-")</f>
        <v>5.0729513190831667E-2</v>
      </c>
      <c r="BH33" s="1058">
        <f>IF(ISNUMBER(STDEV(BH8:BH30)),STDEV(BH8:BH30),"-")</f>
        <v>2.3580265616529461</v>
      </c>
      <c r="BI33" s="273">
        <f>IF(ISNUMBER(STDEV(BI8:BI30)),STDEV(BI8:BI30),"-")</f>
        <v>7.5962022073402677E-2</v>
      </c>
      <c r="BJ33" s="244" t="str">
        <f>IF(ISNUMBER(BL33/BM33),BL33/BM33," - ")</f>
        <v xml:space="preserve"> - </v>
      </c>
      <c r="BK33" s="709"/>
      <c r="BL33" s="681">
        <f>IF(ISNUMBER(STDEV(BL8:BL30)),STDEV(BL8:BL30),"-")</f>
        <v>1.4992352663083777</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3383.4875757771883</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542</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335</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336</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14 abr. 2023</v>
      </c>
    </row>
    <row r="44" spans="1:74">
      <c r="C44" s="645"/>
      <c r="D44" s="646"/>
    </row>
  </sheetData>
  <sheetProtection algorithmName="SHA-512" hashValue="4yRao3GD9bfAnWB3Edmgobb5BFNDaTsMHKmEGTLSlU3XrxuhOwHANjfgEAGoCeXRiAM1DUyK358K6ZPoMfwcMQ==" saltValue="bwa29414LtGzrsQdgWmomg==" spinCount="100000" sheet="1" objects="1" scenarios="1"/>
  <mergeCells count="73">
    <mergeCell ref="X5:X7"/>
    <mergeCell ref="M5:M7"/>
    <mergeCell ref="Q5:Q7"/>
    <mergeCell ref="O5:O7"/>
    <mergeCell ref="P5:P7"/>
    <mergeCell ref="R5:R7"/>
    <mergeCell ref="U5:U7"/>
    <mergeCell ref="V5:V7"/>
    <mergeCell ref="S5:S7"/>
    <mergeCell ref="T5:T7"/>
    <mergeCell ref="W5:W7"/>
    <mergeCell ref="N5:N7"/>
    <mergeCell ref="G5:G7"/>
    <mergeCell ref="I5:I7"/>
    <mergeCell ref="L5:L7"/>
    <mergeCell ref="J5:J7"/>
    <mergeCell ref="K5:K7"/>
    <mergeCell ref="H5:H7"/>
    <mergeCell ref="A5:A7"/>
    <mergeCell ref="C5:C6"/>
    <mergeCell ref="D5:D7"/>
    <mergeCell ref="E5:E7"/>
    <mergeCell ref="F5:F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T5:BT7"/>
    <mergeCell ref="AM5:AM7"/>
    <mergeCell ref="AN5:AN7"/>
    <mergeCell ref="AO5:AO7"/>
    <mergeCell ref="BS5:BS7"/>
    <mergeCell ref="BQ5:BQ7"/>
    <mergeCell ref="BP5:BP7"/>
    <mergeCell ref="BR5:BR7"/>
    <mergeCell ref="BI5:BI7"/>
    <mergeCell ref="BN5:BN7"/>
    <mergeCell ref="BO5:BO7"/>
    <mergeCell ref="BD5:BD7"/>
    <mergeCell ref="AR5:AR7"/>
    <mergeCell ref="AD5:AD7"/>
    <mergeCell ref="AH5:AH7"/>
    <mergeCell ref="AI5:AI7"/>
    <mergeCell ref="AK5:AK7"/>
    <mergeCell ref="AL5:AL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CATALUÑA</v>
      </c>
    </row>
    <row r="2" spans="1:73" ht="16.5" customHeight="1">
      <c r="C2" s="647" t="str">
        <f>Criterios!A10 &amp;"  "&amp;Criterios!B10 &amp; "  " &amp; IF(NOT(ISBLANK(Criterios!A11)),Criterios!A11 &amp;"  "&amp;Criterios!B11,"")</f>
        <v>Provincias  LLEIDA  Resumenes por Partidos Judiciales  LLEIDA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68" t="s">
        <v>461</v>
      </c>
      <c r="B5" s="297"/>
      <c r="C5" s="1923" t="str">
        <f>"Año:  " &amp;Criterios!B$5 &amp; "          Trimestre   " &amp;Criterios!D$5 &amp; " al " &amp;Criterios!D$6</f>
        <v>Año:  2022          Trimestre   1 al 4</v>
      </c>
      <c r="D5" s="1925" t="s">
        <v>487</v>
      </c>
      <c r="E5" s="1885" t="s">
        <v>752</v>
      </c>
      <c r="F5" s="1914" t="s">
        <v>523</v>
      </c>
      <c r="G5" s="1885" t="s">
        <v>173</v>
      </c>
      <c r="H5" s="1885" t="s">
        <v>785</v>
      </c>
      <c r="I5" s="1885" t="s">
        <v>753</v>
      </c>
      <c r="J5" s="1885" t="s">
        <v>890</v>
      </c>
      <c r="K5" s="1885" t="s">
        <v>754</v>
      </c>
      <c r="L5" s="1885" t="s">
        <v>783</v>
      </c>
      <c r="M5" s="1885" t="s">
        <v>892</v>
      </c>
      <c r="N5" s="1885" t="s">
        <v>780</v>
      </c>
      <c r="O5" s="1885" t="s">
        <v>814</v>
      </c>
      <c r="P5" s="1920" t="s">
        <v>882</v>
      </c>
      <c r="Q5" s="1920" t="s">
        <v>885</v>
      </c>
      <c r="R5" s="1885" t="s">
        <v>789</v>
      </c>
      <c r="S5" s="1885" t="s">
        <v>755</v>
      </c>
      <c r="T5" s="1885" t="s">
        <v>1038</v>
      </c>
      <c r="U5" s="1885" t="s">
        <v>1039</v>
      </c>
      <c r="V5" s="1888" t="s">
        <v>873</v>
      </c>
      <c r="W5" s="1903" t="s">
        <v>769</v>
      </c>
      <c r="X5" s="1906" t="s">
        <v>770</v>
      </c>
      <c r="Y5" s="1882" t="s">
        <v>790</v>
      </c>
      <c r="Z5" s="1882" t="s">
        <v>815</v>
      </c>
      <c r="AA5" s="1885" t="s">
        <v>759</v>
      </c>
      <c r="AB5" s="1885" t="s">
        <v>771</v>
      </c>
      <c r="AC5" s="1885" t="s">
        <v>772</v>
      </c>
      <c r="AD5" s="1885" t="s">
        <v>712</v>
      </c>
      <c r="AE5" s="1885" t="s">
        <v>893</v>
      </c>
      <c r="AF5" s="1885" t="s">
        <v>239</v>
      </c>
      <c r="AG5" s="1885" t="s">
        <v>773</v>
      </c>
      <c r="AH5" s="1885" t="s">
        <v>760</v>
      </c>
      <c r="AI5" s="1885" t="s">
        <v>761</v>
      </c>
      <c r="AJ5" s="1885" t="s">
        <v>774</v>
      </c>
      <c r="AK5" s="1885" t="s">
        <v>775</v>
      </c>
      <c r="AL5" s="1885" t="s">
        <v>776</v>
      </c>
      <c r="AM5" s="1900" t="s">
        <v>777</v>
      </c>
      <c r="AN5" s="1885" t="s">
        <v>320</v>
      </c>
      <c r="AO5" s="1885" t="s">
        <v>763</v>
      </c>
      <c r="AP5" s="1885" t="s">
        <v>764</v>
      </c>
      <c r="AQ5" s="1885" t="s">
        <v>791</v>
      </c>
      <c r="AR5" s="1885" t="s">
        <v>792</v>
      </c>
      <c r="AS5" s="1885" t="s">
        <v>794</v>
      </c>
      <c r="AT5" s="1885" t="s">
        <v>787</v>
      </c>
      <c r="AU5" s="1885" t="s">
        <v>1120</v>
      </c>
      <c r="AV5" s="1885" t="s">
        <v>432</v>
      </c>
      <c r="AW5" s="1885" t="s">
        <v>778</v>
      </c>
      <c r="AX5" s="1885" t="s">
        <v>717</v>
      </c>
      <c r="BU5" s="1885" t="s">
        <v>1040</v>
      </c>
    </row>
    <row r="6" spans="1:73" ht="21.75" customHeight="1">
      <c r="A6" s="1669"/>
      <c r="B6" s="298"/>
      <c r="C6" s="1924"/>
      <c r="D6" s="1926"/>
      <c r="E6" s="1886"/>
      <c r="F6" s="1915"/>
      <c r="G6" s="1886"/>
      <c r="H6" s="1886"/>
      <c r="I6" s="1886"/>
      <c r="J6" s="1886"/>
      <c r="K6" s="1886"/>
      <c r="L6" s="1886"/>
      <c r="M6" s="1886"/>
      <c r="N6" s="1886"/>
      <c r="O6" s="1886"/>
      <c r="P6" s="1921"/>
      <c r="Q6" s="1921"/>
      <c r="R6" s="1886"/>
      <c r="S6" s="1886"/>
      <c r="T6" s="1886"/>
      <c r="U6" s="1886"/>
      <c r="V6" s="1889"/>
      <c r="W6" s="1904"/>
      <c r="X6" s="1907"/>
      <c r="Y6" s="1883"/>
      <c r="Z6" s="1883"/>
      <c r="AA6" s="1886"/>
      <c r="AB6" s="1886"/>
      <c r="AC6" s="1886"/>
      <c r="AD6" s="1886"/>
      <c r="AE6" s="1886"/>
      <c r="AF6" s="1886"/>
      <c r="AG6" s="1886"/>
      <c r="AH6" s="1886"/>
      <c r="AI6" s="1886"/>
      <c r="AJ6" s="1886"/>
      <c r="AK6" s="1886"/>
      <c r="AL6" s="1886"/>
      <c r="AM6" s="1901"/>
      <c r="AN6" s="1886"/>
      <c r="AO6" s="1886"/>
      <c r="AP6" s="1886"/>
      <c r="AQ6" s="1886"/>
      <c r="AR6" s="1886"/>
      <c r="AS6" s="1886"/>
      <c r="AT6" s="1886"/>
      <c r="AU6" s="1886"/>
      <c r="AV6" s="1886"/>
      <c r="AW6" s="1886"/>
      <c r="AX6" s="1886"/>
      <c r="BU6" s="1886"/>
    </row>
    <row r="7" spans="1:73" ht="38.25" customHeight="1" thickBot="1">
      <c r="A7" s="1670"/>
      <c r="B7" s="299"/>
      <c r="C7" s="648" t="str">
        <f>Datos!A7</f>
        <v>COMPETENCIAS</v>
      </c>
      <c r="D7" s="1927"/>
      <c r="E7" s="1887"/>
      <c r="F7" s="1916"/>
      <c r="G7" s="1887"/>
      <c r="H7" s="1887"/>
      <c r="I7" s="1887"/>
      <c r="J7" s="1887"/>
      <c r="K7" s="1887"/>
      <c r="L7" s="1887"/>
      <c r="M7" s="1887"/>
      <c r="N7" s="1887"/>
      <c r="O7" s="1887"/>
      <c r="P7" s="1922"/>
      <c r="Q7" s="1922"/>
      <c r="R7" s="1887"/>
      <c r="S7" s="1887"/>
      <c r="T7" s="1887"/>
      <c r="U7" s="1887"/>
      <c r="V7" s="1890"/>
      <c r="W7" s="1905"/>
      <c r="X7" s="1908"/>
      <c r="Y7" s="1884"/>
      <c r="Z7" s="1884"/>
      <c r="AA7" s="1887"/>
      <c r="AB7" s="1887"/>
      <c r="AC7" s="1887"/>
      <c r="AD7" s="1887"/>
      <c r="AE7" s="1887"/>
      <c r="AF7" s="1887"/>
      <c r="AG7" s="1887"/>
      <c r="AH7" s="1887"/>
      <c r="AI7" s="1887"/>
      <c r="AJ7" s="1887"/>
      <c r="AK7" s="1887"/>
      <c r="AL7" s="1887"/>
      <c r="AM7" s="1902"/>
      <c r="AN7" s="1887"/>
      <c r="AO7" s="1887"/>
      <c r="AP7" s="1887"/>
      <c r="AQ7" s="1887"/>
      <c r="AR7" s="1887"/>
      <c r="AS7" s="1887"/>
      <c r="AT7" s="1887"/>
      <c r="AU7" s="1887"/>
      <c r="AV7" s="1887"/>
      <c r="AW7" s="1887"/>
      <c r="AX7" s="1887"/>
      <c r="BU7" s="1887"/>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793</v>
      </c>
      <c r="B9" s="745" t="s">
        <v>317</v>
      </c>
      <c r="C9" s="765" t="str">
        <f>Datos!A9</f>
        <v xml:space="preserve">Jdos. 1ª Instancia   </v>
      </c>
      <c r="D9" s="593"/>
      <c r="E9" s="1558">
        <f>IF(ISNUMBER(Datos!AQ9),Datos!AQ9," - ")</f>
        <v>7</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3028</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f>IF(ISNUMBER(Datos!Q9),Datos!Q9," - ")</f>
        <v>4306</v>
      </c>
      <c r="AA9" s="551" t="str">
        <f>IF(ISNUMBER(IF(J_V="SI",Datos!L9,Datos!L9+Datos!AB9)-IF(Monitorios="SI",Datos!CD9,0)),
                          IF(J_V="SI",Datos!L9,Datos!L9+Datos!AB9)-IF(Monitorios="SI",Datos!CD9,0),
                          " - ")</f>
        <v xml:space="preserve"> - </v>
      </c>
      <c r="AB9" s="549"/>
      <c r="AC9" s="549"/>
      <c r="AD9" s="563"/>
      <c r="AE9" s="563">
        <f>IF(ISNUMBER(Datos!R9),Datos!R9," - ")</f>
        <v>11202</v>
      </c>
      <c r="AF9" s="693" t="str">
        <f>IF(ISNUMBER(Datos!BV9),Datos!BV9," - ")</f>
        <v xml:space="preserve"> - </v>
      </c>
      <c r="AG9" s="552" t="str">
        <f>IF(ISNUMBER(Datos!DV9),Datos!DV9," - ")</f>
        <v xml:space="preserve"> - </v>
      </c>
      <c r="AH9" s="553"/>
      <c r="AI9" s="554"/>
      <c r="AJ9" s="552">
        <f>IF(ISNUMBER(Datos!M9),Datos!M9," - ")</f>
        <v>2986</v>
      </c>
      <c r="AK9" s="693">
        <f>IF(ISNUMBER(Datos!N9),Datos!N9," - ")</f>
        <v>5189</v>
      </c>
      <c r="AL9" s="693" t="str">
        <f>IF(ISNUMBER(Datos!BW9),Datos!BW9," - ")</f>
        <v xml:space="preserve"> - </v>
      </c>
      <c r="AM9" s="762" t="str">
        <f>IF(ISNUMBER(Datos!BX9),Datos!BX9," - ")</f>
        <v xml:space="preserve"> - </v>
      </c>
      <c r="AN9" s="763"/>
      <c r="AO9" s="764">
        <f>IF(ISNUMBER(((NºAsuntos!I9/NºAsuntos!G9)*11)/factor_trimestre),((NºAsuntos!I9/NºAsuntos!G9)*11)/factor_trimestre," - ")</f>
        <v>5.930055240021785</v>
      </c>
      <c r="AP9" s="555" t="str">
        <f>IF(ISNUMBER(Datos!CI9/Datos!CJ9),Datos!CI9/Datos!CJ9," - ")</f>
        <v xml:space="preserve"> - </v>
      </c>
      <c r="AQ9" s="555" t="str">
        <f>IF(ISNUMBER((J9-Y9+K9)/(F9)),(J9-Y9+K9)/(F9)," - ")</f>
        <v xml:space="preserve"> - </v>
      </c>
      <c r="AR9" s="555">
        <f>IF(ISNUMBER((Datos!P9-Datos!Q9+Datos!DE9)/(Datos!R9-Datos!P9+Datos!Q9-Datos!DE9)),(Datos!P9-Datos!Q9+Datos!DE9)/(Datos!R9-Datos!P9+Datos!Q9-Datos!DE9)," - ")</f>
        <v>-0.10240384615384615</v>
      </c>
      <c r="AS9" s="748"/>
      <c r="AT9" s="748"/>
      <c r="AU9" s="717" t="str">
        <f>IF(ISNUMBER(Datos!EV9),Datos!EV9," - ")</f>
        <v xml:space="preserve"> - </v>
      </c>
      <c r="AV9" s="717" t="str">
        <f>IF(ISNUMBER(Datos!CW9),Datos!CW9," - ")</f>
        <v xml:space="preserve"> - </v>
      </c>
      <c r="AW9" s="717">
        <f>Datos!CX9</f>
        <v>0</v>
      </c>
      <c r="AX9" s="821">
        <f>Datos!DU9</f>
        <v>0</v>
      </c>
      <c r="BU9" s="1380">
        <f>Datos!ER9/factor_trimestre</f>
        <v>1200</v>
      </c>
    </row>
    <row r="10" spans="1:73" s="578" customFormat="1" ht="14.25">
      <c r="A10" s="745">
        <f>Datos!AO10</f>
        <v>1</v>
      </c>
      <c r="B10" s="746" t="s">
        <v>317</v>
      </c>
      <c r="C10" s="747" t="str">
        <f>Datos!A10</f>
        <v>Jdos. Violencia contra la mujer</v>
      </c>
      <c r="D10" s="601"/>
      <c r="E10" s="1558">
        <f>IF(ISNUMBER(Datos!AQ10),Datos!AQ10," - ")</f>
        <v>1</v>
      </c>
      <c r="F10" s="552">
        <f>IF(ISNUMBER(Datos!L10+Datos!K10-Datos!J10),Datos!L10+Datos!K10-Datos!J10," - ")</f>
        <v>128</v>
      </c>
      <c r="G10" s="552">
        <f>IF(ISNUMBER(Datos!I10),Datos!I10," - ")</f>
        <v>128</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34</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197</v>
      </c>
      <c r="Z10" s="805">
        <f>IF(ISNUMBER(Datos!Q10),Datos!Q10," - ")</f>
        <v>39</v>
      </c>
      <c r="AA10" s="551">
        <f>IF(ISNUMBER(Datos!L10),Datos!L10,"-")</f>
        <v>159</v>
      </c>
      <c r="AB10" s="549"/>
      <c r="AC10" s="549"/>
      <c r="AD10" s="563"/>
      <c r="AE10" s="563">
        <f>IF(ISNUMBER(Datos!R10),Datos!R10," - ")</f>
        <v>116</v>
      </c>
      <c r="AF10" s="693" t="str">
        <f>IF(ISNUMBER(Datos!BV10),Datos!BV10," - ")</f>
        <v xml:space="preserve"> - </v>
      </c>
      <c r="AG10" s="552" t="str">
        <f>IF(ISNUMBER(Datos!DV10),Datos!DV10," - ")</f>
        <v xml:space="preserve"> - </v>
      </c>
      <c r="AH10" s="553"/>
      <c r="AI10" s="554"/>
      <c r="AJ10" s="552">
        <f>IF(ISNUMBER(Datos!M10),Datos!M10," - ")</f>
        <v>71</v>
      </c>
      <c r="AK10" s="693">
        <f>IF(ISNUMBER(Datos!N10),Datos!N10," - ")</f>
        <v>93</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8.8781725888324878</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-4.1322314049586778E-2</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1600</v>
      </c>
    </row>
    <row r="11" spans="1:73" s="578" customFormat="1" ht="14.25">
      <c r="A11" s="745">
        <f>Datos!AO11</f>
        <v>2</v>
      </c>
      <c r="B11" s="746" t="s">
        <v>317</v>
      </c>
      <c r="C11" s="747" t="str">
        <f>Datos!A11</f>
        <v xml:space="preserve">Jdos. Familia                                   </v>
      </c>
      <c r="D11" s="601"/>
      <c r="E11" s="1558">
        <f>IF(ISNUMBER(Datos!AQ11),Datos!AQ11," - ")</f>
        <v>2</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237</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f>IF(ISNUMBER(Datos!Q11),Datos!Q11," - ")</f>
        <v>195</v>
      </c>
      <c r="AA11" s="551" t="str">
        <f>IF(ISNUMBER(IF(J_V="SI",Datos!L11,Datos!L11+Datos!AB11)-IF(Monitorios="SI",Datos!CD11,0)),
                          IF(J_V="SI",Datos!L11,Datos!L11+Datos!AB11)-IF(Monitorios="SI",Datos!CD11,0),
                          " - ")</f>
        <v xml:space="preserve"> - </v>
      </c>
      <c r="AB11" s="549"/>
      <c r="AC11" s="549"/>
      <c r="AD11" s="563"/>
      <c r="AE11" s="563">
        <f>IF(ISNUMBER(Datos!R11),Datos!R11," - ")</f>
        <v>776</v>
      </c>
      <c r="AF11" s="693" t="str">
        <f>IF(ISNUMBER(Datos!BV11),Datos!BV11," - ")</f>
        <v xml:space="preserve"> - </v>
      </c>
      <c r="AG11" s="552" t="str">
        <f>IF(ISNUMBER(Datos!DV11),Datos!DV11," - ")</f>
        <v xml:space="preserve"> - </v>
      </c>
      <c r="AH11" s="553"/>
      <c r="AI11" s="554"/>
      <c r="AJ11" s="552">
        <f>IF(ISNUMBER(Datos!M11),Datos!M11," - ")</f>
        <v>574</v>
      </c>
      <c r="AK11" s="693">
        <f>IF(ISNUMBER(Datos!N11),Datos!N11," - ")</f>
        <v>1490</v>
      </c>
      <c r="AL11" s="693" t="str">
        <f>IF(ISNUMBER(Datos!BW11),Datos!BW11," - ")</f>
        <v xml:space="preserve"> - </v>
      </c>
      <c r="AM11" s="762" t="str">
        <f>IF(ISNUMBER(Datos!BX11),Datos!BX11," - ")</f>
        <v xml:space="preserve"> - </v>
      </c>
      <c r="AN11" s="763"/>
      <c r="AO11" s="764">
        <f>IF(ISNUMBER(((NºAsuntos!I11/NºAsuntos!G11)*11)/factor_trimestre),((NºAsuntos!I11/NºAsuntos!G11)*11)/factor_trimestre," - ")</f>
        <v>4.019317714755446</v>
      </c>
      <c r="AP11" s="555" t="str">
        <f>IF(ISNUMBER(Datos!CI11/Datos!CJ11),Datos!CI11/Datos!CJ11," - ")</f>
        <v xml:space="preserve"> - </v>
      </c>
      <c r="AQ11" s="555" t="str">
        <f>IF(ISNUMBER((J11-Y11+K11)/(F11)),(J11-Y11+K11)/(F11)," - ")</f>
        <v xml:space="preserve"> - </v>
      </c>
      <c r="AR11" s="555">
        <f>IF(ISNUMBER((Datos!P11-Datos!Q11+Datos!DE11)/(Datos!R11-Datos!P11+Datos!Q11-Datos!DE11)),(Datos!P11-Datos!Q11+Datos!DE11)/(Datos!R11-Datos!P11+Datos!Q11-Datos!DE11)," - ")</f>
        <v>5.7220708446866483E-2</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1323</v>
      </c>
    </row>
    <row r="12" spans="1:73" s="578" customFormat="1" ht="14.25">
      <c r="A12" s="745">
        <f>Datos!AO12</f>
        <v>0</v>
      </c>
      <c r="B12" s="746" t="s">
        <v>317</v>
      </c>
      <c r="C12" s="747" t="str">
        <f>Datos!A12</f>
        <v xml:space="preserve">Jdos. 1ª Instª. e Instr.                        </v>
      </c>
      <c r="D12" s="601"/>
      <c r="E12" s="1558">
        <f>IF(ISNUMBER(Datos!AQ12),Datos!AQ12," - ")</f>
        <v>0</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18</v>
      </c>
      <c r="AA12" s="551" t="str">
        <f>IF(ISNUMBER(IF(J_V="SI",Datos!L12,Datos!L12+Datos!AB12)-IF(Monitorios="SI",Datos!CD12,0)),
                          IF(J_V="SI",Datos!L12,Datos!L12+Datos!AB12)-IF(Monitorios="SI",Datos!CD12,0),
                          " - ")</f>
        <v xml:space="preserve"> - </v>
      </c>
      <c r="AB12" s="549"/>
      <c r="AC12" s="549"/>
      <c r="AD12" s="563"/>
      <c r="AE12" s="563">
        <f>IF(ISNUMBER(Datos!R12),Datos!R12," - ")</f>
        <v>260</v>
      </c>
      <c r="AF12" s="693" t="str">
        <f>IF(ISNUMBER(Datos!BV12),Datos!BV12," - ")</f>
        <v xml:space="preserve"> - </v>
      </c>
      <c r="AG12" s="552" t="str">
        <f>IF(ISNUMBER(Datos!DV12),Datos!DV12," - ")</f>
        <v xml:space="preserve"> - </v>
      </c>
      <c r="AH12" s="553"/>
      <c r="AI12" s="554"/>
      <c r="AJ12" s="552">
        <f>IF(ISNUMBER(Datos!M12),Datos!M12," - ")</f>
        <v>0</v>
      </c>
      <c r="AK12" s="693">
        <f>IF(ISNUMBER(Datos!N12),Datos!N12," - ")</f>
        <v>0</v>
      </c>
      <c r="AL12" s="693" t="str">
        <f>IF(ISNUMBER(Datos!BW12),Datos!BW12," - ")</f>
        <v xml:space="preserve"> - </v>
      </c>
      <c r="AM12" s="762" t="str">
        <f>IF(ISNUMBER(Datos!BX12),Datos!BX12," - ")</f>
        <v xml:space="preserve"> - </v>
      </c>
      <c r="AN12" s="763"/>
      <c r="AO12" s="764" t="str">
        <f>IF(ISNUMBER(((NºAsuntos!I12/NºAsuntos!G12)*11)/factor_trimestre),((NºAsuntos!I12/NºAsuntos!G12)*11)/factor_trimestre," - ")</f>
        <v xml:space="preserve"> - </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-6.4748201438848921E-2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680</v>
      </c>
    </row>
    <row r="13" spans="1:73" s="578" customFormat="1" ht="15" thickBot="1">
      <c r="A13" s="745">
        <f>Datos!AO13</f>
        <v>0</v>
      </c>
      <c r="B13" s="746" t="s">
        <v>317</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875</v>
      </c>
    </row>
    <row r="14" spans="1:73" ht="15.75" thickTop="1" thickBot="1">
      <c r="A14" s="191"/>
      <c r="B14" s="191"/>
      <c r="C14" s="1160" t="str">
        <f>Datos!A14</f>
        <v>TOTAL</v>
      </c>
      <c r="D14" s="1160"/>
      <c r="E14" s="1197">
        <f>SUBTOTAL(9,E8:E13)</f>
        <v>10</v>
      </c>
      <c r="F14" s="1197">
        <f>SUBTOTAL(9,F8:F13)</f>
        <v>128</v>
      </c>
      <c r="G14" s="1197">
        <f>SUBTOTAL(9,G8:G13)</f>
        <v>128</v>
      </c>
      <c r="H14" s="1211"/>
      <c r="I14" s="1197">
        <f t="shared" ref="I14:N14" si="1">SUBTOTAL(9,I8:I13)</f>
        <v>0</v>
      </c>
      <c r="J14" s="1164">
        <f t="shared" si="1"/>
        <v>0</v>
      </c>
      <c r="K14" s="1211">
        <f t="shared" si="1"/>
        <v>0</v>
      </c>
      <c r="L14" s="1211">
        <f t="shared" si="1"/>
        <v>0</v>
      </c>
      <c r="M14" s="1211">
        <f t="shared" si="1"/>
        <v>0</v>
      </c>
      <c r="N14" s="1211">
        <f t="shared" si="1"/>
        <v>3299</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197</v>
      </c>
      <c r="Z14" s="1210">
        <f t="shared" si="3"/>
        <v>4558</v>
      </c>
      <c r="AA14" s="1199">
        <f t="shared" si="3"/>
        <v>159</v>
      </c>
      <c r="AB14" s="1199">
        <f t="shared" si="3"/>
        <v>0</v>
      </c>
      <c r="AC14" s="1199">
        <f t="shared" si="3"/>
        <v>0</v>
      </c>
      <c r="AD14" s="1199">
        <f t="shared" si="3"/>
        <v>0</v>
      </c>
      <c r="AE14" s="1199">
        <f t="shared" si="3"/>
        <v>12354</v>
      </c>
      <c r="AF14" s="1211">
        <f t="shared" si="3"/>
        <v>0</v>
      </c>
      <c r="AG14" s="1211">
        <f t="shared" si="3"/>
        <v>0</v>
      </c>
      <c r="AH14" s="1211">
        <f t="shared" si="3"/>
        <v>0</v>
      </c>
      <c r="AI14" s="1211">
        <f t="shared" si="3"/>
        <v>0</v>
      </c>
      <c r="AJ14" s="1211">
        <f t="shared" si="3"/>
        <v>3631</v>
      </c>
      <c r="AK14" s="1211">
        <f t="shared" si="3"/>
        <v>6772</v>
      </c>
      <c r="AL14" s="1211">
        <f t="shared" si="3"/>
        <v>0</v>
      </c>
      <c r="AM14" s="1211">
        <f t="shared" si="3"/>
        <v>0</v>
      </c>
      <c r="AN14" s="1211">
        <f t="shared" si="3"/>
        <v>0</v>
      </c>
      <c r="AO14" s="1203">
        <f>IF(ISNUMBER(((NºAsuntos!I14/NºAsuntos!G14)*11)/factor_trimestre),((NºAsuntos!I14/NºAsuntos!G14)*11)/factor_trimestre," - ")</f>
        <v>5.6680229929600205</v>
      </c>
      <c r="AP14" s="1213" t="str">
        <f>IF(ISNUMBER(Datos!CI14/Datos!CJ14),Datos!CI14/Datos!CJ14," - ")</f>
        <v xml:space="preserve"> - </v>
      </c>
      <c r="AQ14" s="1236">
        <f t="shared" ref="AQ14:AV14" si="4">SUBTOTAL(9,AQ9:AQ13)</f>
        <v>0</v>
      </c>
      <c r="AR14" s="1236">
        <f t="shared" si="4"/>
        <v>-0.15125365319541537</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4</v>
      </c>
      <c r="B16" s="746" t="s">
        <v>507</v>
      </c>
      <c r="C16" s="765" t="str">
        <f>Datos!A16</f>
        <v xml:space="preserve">Jdos. Instrucción                               </v>
      </c>
      <c r="D16" s="593"/>
      <c r="E16" s="1558">
        <f>IF(ISNUMBER(Datos!AQ16),Datos!AQ16," - ")</f>
        <v>4</v>
      </c>
      <c r="F16" s="543">
        <f>IF(ISNUMBER(AA16+Y16-Datos!J16-K16),AA16+Y16-Datos!J16-K16," - ")</f>
        <v>4752</v>
      </c>
      <c r="G16" s="552">
        <f>IF(ISNUMBER(IF(D_I="SI",Datos!I16,Datos!I16+Datos!AC16)),IF(D_I="SI",Datos!I16,Datos!I16+Datos!AC16)," - ")</f>
        <v>4590</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574</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f>IF(ISNUMBER(IF(D_I="SI",Datos!K16,Datos!K16+Datos!AE16)),IF(D_I="SI",Datos!K16,Datos!K16+Datos!AE16)," - ")</f>
        <v>15842</v>
      </c>
      <c r="Z16" s="805">
        <f>IF(ISNUMBER(Datos!Q16),Datos!Q16," - ")</f>
        <v>482</v>
      </c>
      <c r="AA16" s="551">
        <f>IF(ISNUMBER(IF(D_I="SI",Datos!L16,Datos!L16+Datos!AF16)),IF(D_I="SI",Datos!L16,Datos!L16+Datos!AF16)," - ")</f>
        <v>5276</v>
      </c>
      <c r="AB16" s="549"/>
      <c r="AC16" s="549"/>
      <c r="AD16" s="563"/>
      <c r="AE16" s="563">
        <f>IF(ISNUMBER(Datos!R16),Datos!R16," - ")</f>
        <v>557</v>
      </c>
      <c r="AF16" s="693" t="str">
        <f>IF(ISNUMBER(Datos!BV16),Datos!BV16," - ")</f>
        <v xml:space="preserve"> - </v>
      </c>
      <c r="AG16" s="552"/>
      <c r="AH16" s="553"/>
      <c r="AI16" s="554"/>
      <c r="AJ16" s="552">
        <f>IF(ISNUMBER(Datos!M16),Datos!M16," - ")</f>
        <v>2236</v>
      </c>
      <c r="AK16" s="693">
        <f>IF(ISNUMBER(Datos!N16),Datos!N16," - ")</f>
        <v>10558</v>
      </c>
      <c r="AL16" s="693" t="str">
        <f>IF(ISNUMBER(Datos!BW16),Datos!BW16," - ")</f>
        <v xml:space="preserve"> - </v>
      </c>
      <c r="AM16" s="762" t="str">
        <f>IF(ISNUMBER(Datos!BX16),Datos!BX16," - ")</f>
        <v xml:space="preserve"> - </v>
      </c>
      <c r="AN16" s="763"/>
      <c r="AO16" s="764">
        <f>IF(ISNUMBER(((NºAsuntos!I16/NºAsuntos!G16)*11)/factor_trimestre),((NºAsuntos!I16/NºAsuntos!G16)*11)/factor_trimestre," - ")</f>
        <v>3.6634263350587046</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3300</v>
      </c>
    </row>
    <row r="17" spans="1:73" s="578" customFormat="1" ht="14.25">
      <c r="A17" s="745">
        <f>Datos!AO17</f>
        <v>0</v>
      </c>
      <c r="B17" s="746" t="s">
        <v>507</v>
      </c>
      <c r="C17" s="765" t="str">
        <f>Datos!A17</f>
        <v xml:space="preserve">Jdos. 1ª Instª. e Instr.                        </v>
      </c>
      <c r="D17" s="593"/>
      <c r="E17" s="1558">
        <f>IF(ISNUMBER(Datos!AQ17),Datos!AQ17," - ")</f>
        <v>0</v>
      </c>
      <c r="F17" s="543" t="str">
        <f>IF(ISNUMBER(AA17+Y17-Datos!J17-K16),AA17+Y17-Datos!J17-K16," - ")</f>
        <v xml:space="preserve"> - </v>
      </c>
      <c r="G17" s="552" t="str">
        <f>IF(ISNUMBER(IF(D_I="SI",Datos!I17,Datos!I17+Datos!AC17)),IF(D_I="SI",Datos!I17,Datos!I17+Datos!AC17)," - ")</f>
        <v xml:space="preserve"> - </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0</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t="str">
        <f>IF(ISNUMBER(IF(D_I="SI",Datos!K17,Datos!K17+Datos!AE17)),IF(D_I="SI",Datos!K17,Datos!K17+Datos!AE17)," - ")</f>
        <v xml:space="preserve"> - </v>
      </c>
      <c r="Z17" s="805" t="str">
        <f>IF(ISNUMBER(Datos!Q17),Datos!Q17," - ")</f>
        <v xml:space="preserve"> - </v>
      </c>
      <c r="AA17" s="551" t="str">
        <f>IF(ISNUMBER(IF(D_I="SI",Datos!L17,Datos!L17+Datos!AF17)),IF(D_I="SI",Datos!L17,Datos!L17+Datos!AF17)," - ")</f>
        <v xml:space="preserve"> - </v>
      </c>
      <c r="AB17" s="549"/>
      <c r="AC17" s="549"/>
      <c r="AD17" s="563"/>
      <c r="AE17" s="563" t="str">
        <f>IF(ISNUMBER(Datos!R17),Datos!R17," - ")</f>
        <v xml:space="preserve"> - </v>
      </c>
      <c r="AF17" s="693" t="str">
        <f>IF(ISNUMBER(Datos!BV17),Datos!BV17," - ")</f>
        <v xml:space="preserve"> - </v>
      </c>
      <c r="AG17" s="552"/>
      <c r="AH17" s="553"/>
      <c r="AI17" s="554"/>
      <c r="AJ17" s="552" t="str">
        <f>IF(ISNUMBER(Datos!M17),Datos!M17," - ")</f>
        <v xml:space="preserve"> - </v>
      </c>
      <c r="AK17" s="693" t="str">
        <f>IF(ISNUMBER(Datos!N17),Datos!N17," - ")</f>
        <v xml:space="preserve"> - </v>
      </c>
      <c r="AL17" s="693" t="str">
        <f>IF(ISNUMBER(Datos!BW17),Datos!BW17," - ")</f>
        <v xml:space="preserve"> - </v>
      </c>
      <c r="AM17" s="762" t="str">
        <f>IF(ISNUMBER(Datos!BX17),Datos!BX17," - ")</f>
        <v xml:space="preserve"> - </v>
      </c>
      <c r="AN17" s="763"/>
      <c r="AO17" s="764" t="str">
        <f>IF(ISNUMBER(((NºAsuntos!I17/NºAsuntos!G17)*11)/factor_trimestre),((NºAsuntos!I17/NºAsuntos!G17)*11)/factor_trimestre," - ")</f>
        <v xml:space="preserve"> - </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1000</v>
      </c>
    </row>
    <row r="18" spans="1:73" s="578" customFormat="1" ht="14.25">
      <c r="A18" s="745">
        <f>Datos!AO18</f>
        <v>1</v>
      </c>
      <c r="B18" s="746" t="s">
        <v>507</v>
      </c>
      <c r="C18" s="747" t="str">
        <f>Datos!A18</f>
        <v>Jdos. Violencia contra la mujer</v>
      </c>
      <c r="D18" s="601"/>
      <c r="E18" s="1558">
        <f>IF(ISNUMBER(Datos!AQ18),Datos!AQ18," - ")</f>
        <v>1</v>
      </c>
      <c r="F18" s="552" t="str">
        <f>IF(ISNUMBER(AA18+Y18-I18-K18),AA18+Y18-I18-K18," - ")</f>
        <v xml:space="preserve"> - </v>
      </c>
      <c r="G18" s="843">
        <f>IF(ISNUMBER(IF(D_I="SI",Datos!I18,Datos!I18+Datos!AC18)),IF(D_I="SI",Datos!I18,Datos!I18+Datos!AC18)," - ")</f>
        <v>166</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21</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1547</v>
      </c>
      <c r="Z18" s="805">
        <f>IF(ISNUMBER(Datos!Q18),Datos!Q18," - ")</f>
        <v>40</v>
      </c>
      <c r="AA18" s="551">
        <f>IF(ISNUMBER(Datos!L18),Datos!L18,"-")</f>
        <v>225</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266</v>
      </c>
      <c r="AK18" s="693">
        <f>IF(ISNUMBER(Datos!N18),Datos!N18," - ")</f>
        <v>739</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1.5998707175177764</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1600</v>
      </c>
    </row>
    <row r="19" spans="1:73" s="578" customFormat="1" ht="14.25">
      <c r="A19" s="745">
        <f>Datos!AO19</f>
        <v>0</v>
      </c>
      <c r="B19" s="746" t="s">
        <v>507</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875</v>
      </c>
    </row>
    <row r="20" spans="1:73" s="578" customFormat="1" ht="14.25">
      <c r="A20" s="745">
        <f>Datos!AO20</f>
        <v>0</v>
      </c>
      <c r="B20" s="746" t="s">
        <v>507</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5240</v>
      </c>
    </row>
    <row r="21" spans="1:73" s="578" customFormat="1" ht="14.25">
      <c r="A21" s="745">
        <f>Datos!AO21</f>
        <v>0</v>
      </c>
      <c r="B21" s="746" t="s">
        <v>507</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400</v>
      </c>
    </row>
    <row r="22" spans="1:73" s="578" customFormat="1" ht="15" thickBot="1">
      <c r="A22" s="745">
        <f>Datos!AO22</f>
        <v>0</v>
      </c>
      <c r="B22" s="746" t="s">
        <v>507</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2400</v>
      </c>
    </row>
    <row r="23" spans="1:73" ht="15.75" thickTop="1" thickBot="1">
      <c r="A23" s="191"/>
      <c r="B23" s="191"/>
      <c r="C23" s="1160" t="str">
        <f>Datos!A23</f>
        <v>TOTAL</v>
      </c>
      <c r="D23" s="1160"/>
      <c r="E23" s="1559">
        <f>SUBTOTAL(9,E16:E22)</f>
        <v>5</v>
      </c>
      <c r="F23" s="1197">
        <f>SUBTOTAL(9,F16:F22)</f>
        <v>4752</v>
      </c>
      <c r="G23" s="1197">
        <f>SUBTOTAL(9,G16:G22)</f>
        <v>4756</v>
      </c>
      <c r="H23" s="1240">
        <f>SUBTOTAL(9,H16:H22)</f>
        <v>0</v>
      </c>
      <c r="I23" s="1217">
        <f>SUBTOTAL(9,I16:I22)</f>
        <v>0</v>
      </c>
      <c r="J23" s="1164">
        <f>SUBTOTAL(9,J15:J22)</f>
        <v>0</v>
      </c>
      <c r="K23" s="1240">
        <f t="shared" ref="K23:S23" si="5">SUBTOTAL(9,K16:K22)</f>
        <v>0</v>
      </c>
      <c r="L23" s="1240">
        <f t="shared" si="5"/>
        <v>0</v>
      </c>
      <c r="M23" s="1240">
        <f t="shared" si="5"/>
        <v>0</v>
      </c>
      <c r="N23" s="1240">
        <f t="shared" si="5"/>
        <v>595</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17389</v>
      </c>
      <c r="Z23" s="1240">
        <f t="shared" si="6"/>
        <v>522</v>
      </c>
      <c r="AA23" s="1240">
        <f t="shared" si="6"/>
        <v>5501</v>
      </c>
      <c r="AB23" s="1240">
        <f t="shared" si="6"/>
        <v>0</v>
      </c>
      <c r="AC23" s="1240">
        <f t="shared" si="6"/>
        <v>0</v>
      </c>
      <c r="AD23" s="1240">
        <f t="shared" si="6"/>
        <v>0</v>
      </c>
      <c r="AE23" s="1240">
        <f t="shared" si="6"/>
        <v>557</v>
      </c>
      <c r="AF23" s="1240">
        <f t="shared" si="6"/>
        <v>0</v>
      </c>
      <c r="AG23" s="1240">
        <f t="shared" si="6"/>
        <v>0</v>
      </c>
      <c r="AH23" s="1240">
        <f t="shared" si="6"/>
        <v>0</v>
      </c>
      <c r="AI23" s="1240">
        <f t="shared" si="6"/>
        <v>0</v>
      </c>
      <c r="AJ23" s="1240">
        <f t="shared" si="6"/>
        <v>2502</v>
      </c>
      <c r="AK23" s="1240">
        <f t="shared" si="6"/>
        <v>11297</v>
      </c>
      <c r="AL23" s="1240">
        <f t="shared" si="6"/>
        <v>0</v>
      </c>
      <c r="AM23" s="1240">
        <f t="shared" si="6"/>
        <v>0</v>
      </c>
      <c r="AN23" s="1240">
        <f t="shared" si="6"/>
        <v>0</v>
      </c>
      <c r="AO23" s="1242">
        <f>IF(ISNUMBER(((NºAsuntos!I23/NºAsuntos!G23)*11)/factor_trimestre),((NºAsuntos!I23/NºAsuntos!G23)*11)/factor_trimestre," - ")</f>
        <v>3.4798435792742541</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508</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570</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509</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800</v>
      </c>
    </row>
    <row r="29" spans="1:73" ht="15" thickBot="1">
      <c r="A29" s="592">
        <f>Datos!AO29</f>
        <v>0</v>
      </c>
      <c r="B29" s="600" t="s">
        <v>509</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3500</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15</v>
      </c>
      <c r="F31" s="1117">
        <f t="shared" si="12"/>
        <v>4880</v>
      </c>
      <c r="G31" s="1117">
        <f t="shared" si="12"/>
        <v>4884</v>
      </c>
      <c r="H31" s="1118">
        <f t="shared" si="12"/>
        <v>0</v>
      </c>
      <c r="I31" s="1117">
        <f t="shared" si="12"/>
        <v>0</v>
      </c>
      <c r="J31" s="1119">
        <f t="shared" si="12"/>
        <v>0</v>
      </c>
      <c r="K31" s="1117">
        <f t="shared" si="12"/>
        <v>0</v>
      </c>
      <c r="L31" s="1120">
        <f t="shared" si="12"/>
        <v>0</v>
      </c>
      <c r="M31" s="1117">
        <f t="shared" si="12"/>
        <v>0</v>
      </c>
      <c r="N31" s="1118">
        <f t="shared" si="12"/>
        <v>3894</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17586</v>
      </c>
      <c r="Z31" s="1124">
        <f t="shared" si="13"/>
        <v>5080</v>
      </c>
      <c r="AA31" s="1125">
        <f t="shared" si="13"/>
        <v>5660</v>
      </c>
      <c r="AB31" s="1125">
        <f t="shared" si="13"/>
        <v>0</v>
      </c>
      <c r="AC31" s="1125">
        <f t="shared" si="13"/>
        <v>0</v>
      </c>
      <c r="AD31" s="1126">
        <f t="shared" si="13"/>
        <v>0</v>
      </c>
      <c r="AE31" s="1126">
        <f t="shared" si="13"/>
        <v>12911</v>
      </c>
      <c r="AF31" s="1127">
        <f t="shared" si="13"/>
        <v>0</v>
      </c>
      <c r="AG31" s="1128">
        <f t="shared" si="13"/>
        <v>0</v>
      </c>
      <c r="AH31" s="1129">
        <f t="shared" si="13"/>
        <v>0</v>
      </c>
      <c r="AI31" s="1127">
        <f t="shared" si="13"/>
        <v>0</v>
      </c>
      <c r="AJ31" s="1117">
        <f t="shared" si="13"/>
        <v>6133</v>
      </c>
      <c r="AK31" s="1117">
        <f t="shared" si="13"/>
        <v>18069</v>
      </c>
      <c r="AL31" s="1117">
        <f t="shared" si="13"/>
        <v>0</v>
      </c>
      <c r="AM31" s="1130">
        <f t="shared" si="13"/>
        <v>0</v>
      </c>
      <c r="AN31" s="1120">
        <f>IF(ISNUMBER(Datos!K31/Datos!J31),Datos!K31/Datos!J31," - ")</f>
        <v>0.94802450876822308</v>
      </c>
      <c r="AO31" s="1120">
        <f>IF(ISNUMBER(FIND("06",Criterios!A8,1)),(IF(ISNUMBER(((Datos!R31/Datos!Q31)*11)/factor_trimestre),((Datos!R31/Datos!Q31)*11)/factor_trimestre," - ")),(IF(ISNUMBER(((Datos!L31/Datos!K31)*11)/factor_trimestre),((Datos!L31/Datos!K31)*11)/factor_trimestre," - ")))</f>
        <v>4.6281320640580725</v>
      </c>
      <c r="AP31" s="1131" t="str">
        <f>IF(ISNUMBER(Datos!CI31/Datos!CJ31),Datos!CI31/Datos!CJ31," - ")</f>
        <v xml:space="preserve"> - </v>
      </c>
      <c r="AQ31" s="1131">
        <f>IF(OR(ISNUMBER(FIND("01",Criterios!A8,1)),ISNUMBER(FIND("02",Criterios!A8,1)),ISNUMBER(FIND("03",Criterios!A8,1)),ISNUMBER(FIND("04",Criterios!A8,1))),(J31-Y31+K31)/(F31-K31),(I31-Y31+K31)/(F31-K31))</f>
        <v>-3.6036885245901638</v>
      </c>
      <c r="AR31" s="1131">
        <f>IF(ISNUMBER((Datos!P31-Datos!Q31+O31)/(Datos!R31-Datos!P31+Datos!Q31-O31)),(Datos!P31-Datos!Q31+O31)/(Datos!R31-Datos!P31+Datos!Q31-O31)," - ")</f>
        <v>-8.413137546995815E-2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337</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1395.4285714285713</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338</v>
      </c>
      <c r="D33" s="384"/>
      <c r="E33" s="715"/>
      <c r="F33" s="276">
        <f>IF(ISNUMBER(STDEV(F8:F30)),STDEV(F8:F30),"-")</f>
        <v>2421.5494764027985</v>
      </c>
      <c r="G33" s="674">
        <f>IF(ISNUMBER(STDEV(G8:G30)),STDEV(G8:G30),"-")</f>
        <v>2240.4394551919836</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1442.2149015393725</v>
      </c>
      <c r="AK33" s="276"/>
      <c r="AL33" s="276">
        <f>IF(ISNUMBER(STDEV(AL8:AL30)),STDEV(AL8:AL30),"-")</f>
        <v>0</v>
      </c>
      <c r="AM33" s="278">
        <f>IF(ISNUMBER(STDEV(AM8:AM30)),STDEV(AM8:AM30),"-")</f>
        <v>0</v>
      </c>
      <c r="AN33" s="660">
        <f>IF(ISNUMBER(STDEV(AN8:AN30)),STDEV(AN8:AN30),"-")</f>
        <v>0</v>
      </c>
      <c r="AO33" s="661">
        <f>IF(ISNUMBER(STDEV(AO8:AO30)),STDEV(AO8:AO30),"-")</f>
        <v>2.3283842057397992</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1360.174036483497</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335</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336</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14 abr. 2023</v>
      </c>
    </row>
    <row r="43" spans="1:73">
      <c r="V43" s="1378"/>
    </row>
    <row r="44" spans="1:73" ht="13.5" thickBot="1">
      <c r="C44" s="655"/>
      <c r="D44" s="645"/>
      <c r="E44" s="645"/>
    </row>
    <row r="45" spans="1:73" ht="15" thickBot="1">
      <c r="L45" s="668"/>
    </row>
  </sheetData>
  <sheetProtection algorithmName="SHA-512" hashValue="wsneOxdWyBjRfFxjbGzp8HyXWDXYhpVlT6evKalyiWdjKsgkn84OqCyMOo8U238suST7ua1Nsanv+zrwGb6f1g==" saltValue="odNAv3E6asJytETLUJ/f+A==" spinCount="100000" sheet="1" objects="1" scenarios="1"/>
  <mergeCells count="50">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 ref="S5:S7"/>
    <mergeCell ref="J5:J7"/>
    <mergeCell ref="K5:K7"/>
    <mergeCell ref="L5:L7"/>
    <mergeCell ref="N5:N7"/>
    <mergeCell ref="R5:R7"/>
    <mergeCell ref="Y5:Y7"/>
    <mergeCell ref="AL5:AL7"/>
    <mergeCell ref="AB5:AB7"/>
    <mergeCell ref="V5:V7"/>
    <mergeCell ref="T5:T7"/>
    <mergeCell ref="AE5:AE7"/>
    <mergeCell ref="AI5:AI7"/>
    <mergeCell ref="Z5:Z7"/>
    <mergeCell ref="AH5:AH7"/>
    <mergeCell ref="AC5:AC7"/>
    <mergeCell ref="AD5:AD7"/>
    <mergeCell ref="AJ5:AJ7"/>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830</v>
      </c>
      <c r="D3" s="814"/>
      <c r="E3" s="814"/>
      <c r="F3" s="814"/>
      <c r="G3" s="814" t="str">
        <f xml:space="preserve"> "Año: " &amp; Año &amp; "  Trimestres " &amp; TrimIni &amp; " al " &amp; TrimFin</f>
        <v>Año: 2022  Trimestres 1 al 4</v>
      </c>
      <c r="H3" s="815"/>
      <c r="I3" s="815"/>
      <c r="J3" s="815"/>
      <c r="K3" s="816"/>
      <c r="L3" s="816"/>
      <c r="M3" s="816"/>
      <c r="N3" s="816"/>
      <c r="O3" s="816"/>
      <c r="P3" s="816"/>
      <c r="Q3" s="816"/>
    </row>
    <row r="4" spans="1:18" ht="42" customHeight="1" thickBot="1">
      <c r="A4" s="1933" t="s">
        <v>831</v>
      </c>
      <c r="B4" s="1933" t="s">
        <v>941</v>
      </c>
      <c r="C4" s="1933" t="s">
        <v>832</v>
      </c>
      <c r="D4" s="1933" t="s">
        <v>899</v>
      </c>
      <c r="E4" s="1935" t="s">
        <v>900</v>
      </c>
      <c r="F4" s="1933" t="s">
        <v>833</v>
      </c>
      <c r="G4" s="1935" t="s">
        <v>594</v>
      </c>
      <c r="H4" s="1928" t="s">
        <v>834</v>
      </c>
      <c r="I4" s="1928" t="s">
        <v>835</v>
      </c>
      <c r="J4" s="1928" t="s">
        <v>836</v>
      </c>
      <c r="K4" s="1930" t="s">
        <v>345</v>
      </c>
      <c r="L4" s="1931"/>
      <c r="M4" s="1931"/>
      <c r="N4" s="1932"/>
      <c r="O4" s="1930" t="s">
        <v>589</v>
      </c>
      <c r="P4" s="1931"/>
      <c r="Q4" s="1931"/>
      <c r="R4" s="1932"/>
    </row>
    <row r="5" spans="1:18" ht="27.75" customHeight="1" thickBot="1">
      <c r="A5" s="1934"/>
      <c r="B5" s="1934"/>
      <c r="C5" s="1934"/>
      <c r="D5" s="1934"/>
      <c r="E5" s="1934"/>
      <c r="F5" s="1934"/>
      <c r="G5" s="1934"/>
      <c r="H5" s="1929"/>
      <c r="I5" s="1929"/>
      <c r="J5" s="1929"/>
      <c r="K5" s="1143" t="s">
        <v>590</v>
      </c>
      <c r="L5" s="1143" t="s">
        <v>591</v>
      </c>
      <c r="M5" s="1143" t="s">
        <v>592</v>
      </c>
      <c r="N5" s="1143" t="s">
        <v>593</v>
      </c>
      <c r="O5" s="1144" t="s">
        <v>590</v>
      </c>
      <c r="P5" s="1143" t="s">
        <v>591</v>
      </c>
      <c r="Q5" s="1143" t="s">
        <v>592</v>
      </c>
      <c r="R5" s="1143" t="s">
        <v>593</v>
      </c>
    </row>
  </sheetData>
  <sheetProtection algorithmName="SHA-512" hashValue="fCwPClnsJSd1MhhKwH6JmG3PBJ8eNxdK//x0KNnRppvXn7D9ZtDGGEgHTAHDfoTFIvHz4dgvJOtDPghiMZGQ0A==" saltValue="IPEYnWV6KeLFUAKo/XbDd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511</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215</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179</v>
      </c>
      <c r="BB1" s="53" t="s">
        <v>190</v>
      </c>
      <c r="BC1" s="32" t="s">
        <v>275</v>
      </c>
      <c r="BD1" s="31" t="s">
        <v>199</v>
      </c>
      <c r="BE1" s="53" t="s">
        <v>213</v>
      </c>
      <c r="BF1" s="32" t="s">
        <v>214</v>
      </c>
      <c r="BG1" s="31" t="s">
        <v>270</v>
      </c>
      <c r="BH1" s="53" t="s">
        <v>271</v>
      </c>
      <c r="BI1" s="32" t="s">
        <v>278</v>
      </c>
      <c r="BJ1" s="31" t="s">
        <v>294</v>
      </c>
      <c r="BK1" s="53" t="s">
        <v>299</v>
      </c>
      <c r="BL1" s="32" t="s">
        <v>300</v>
      </c>
      <c r="BM1" s="31" t="s">
        <v>305</v>
      </c>
      <c r="BN1" s="53" t="s">
        <v>329</v>
      </c>
      <c r="BO1" s="32" t="s">
        <v>330</v>
      </c>
      <c r="BP1" s="31" t="s">
        <v>331</v>
      </c>
      <c r="BQ1" s="53" t="s">
        <v>333</v>
      </c>
      <c r="BR1" s="32" t="s">
        <v>339</v>
      </c>
      <c r="BS1" s="31" t="s">
        <v>340</v>
      </c>
      <c r="BT1" s="53" t="s">
        <v>341</v>
      </c>
      <c r="BU1" s="32" t="s">
        <v>355</v>
      </c>
      <c r="BV1" s="31" t="s">
        <v>356</v>
      </c>
      <c r="BW1" s="53" t="s">
        <v>357</v>
      </c>
      <c r="BX1" s="32" t="s">
        <v>362</v>
      </c>
      <c r="BY1" s="31" t="s">
        <v>364</v>
      </c>
      <c r="BZ1" s="53" t="s">
        <v>374</v>
      </c>
      <c r="CA1" s="32" t="s">
        <v>375</v>
      </c>
      <c r="CB1" s="31" t="s">
        <v>459</v>
      </c>
      <c r="CC1" s="53" t="s">
        <v>462</v>
      </c>
      <c r="CD1" s="32" t="s">
        <v>464</v>
      </c>
      <c r="CE1" s="31" t="s">
        <v>474</v>
      </c>
      <c r="CF1" s="53" t="s">
        <v>475</v>
      </c>
      <c r="CG1" s="32" t="s">
        <v>476</v>
      </c>
      <c r="CH1" s="31" t="s">
        <v>477</v>
      </c>
      <c r="CI1" s="53" t="s">
        <v>501</v>
      </c>
      <c r="CJ1" s="32" t="s">
        <v>503</v>
      </c>
      <c r="CK1" s="31" t="s">
        <v>288</v>
      </c>
      <c r="CL1" s="53" t="s">
        <v>408</v>
      </c>
      <c r="CM1" s="32" t="s">
        <v>413</v>
      </c>
      <c r="CN1" s="31" t="s">
        <v>433</v>
      </c>
      <c r="CO1" s="53" t="s">
        <v>434</v>
      </c>
      <c r="CP1" s="32" t="s">
        <v>451</v>
      </c>
      <c r="CQ1" s="31" t="s">
        <v>452</v>
      </c>
      <c r="CR1" s="32" t="s">
        <v>453</v>
      </c>
      <c r="CS1" s="31" t="s">
        <v>224</v>
      </c>
      <c r="CT1" s="32" t="s">
        <v>243</v>
      </c>
      <c r="CU1" s="31" t="s">
        <v>244</v>
      </c>
      <c r="CV1" s="32" t="s">
        <v>245</v>
      </c>
      <c r="CW1" s="31" t="s">
        <v>246</v>
      </c>
      <c r="CX1" s="32" t="s">
        <v>247</v>
      </c>
      <c r="CY1" s="31" t="s">
        <v>248</v>
      </c>
      <c r="CZ1" s="32" t="s">
        <v>249</v>
      </c>
      <c r="DA1" s="31" t="s">
        <v>250</v>
      </c>
      <c r="DB1" s="32" t="s">
        <v>251</v>
      </c>
      <c r="DC1" s="31" t="s">
        <v>255</v>
      </c>
      <c r="DD1" s="32" t="s">
        <v>256</v>
      </c>
      <c r="DE1" s="31" t="s">
        <v>525</v>
      </c>
      <c r="DF1" s="32" t="s">
        <v>62</v>
      </c>
      <c r="DG1" s="31" t="s">
        <v>588</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CATALUÑA</v>
      </c>
    </row>
    <row r="4" spans="1:155" ht="13.5" thickBot="1">
      <c r="A4" t="str">
        <f>Criterios!A10</f>
        <v>Provincias</v>
      </c>
      <c r="B4" t="str">
        <f>Criterios!B10</f>
        <v>LLEIDA</v>
      </c>
      <c r="CE4" s="1787" t="s">
        <v>346</v>
      </c>
      <c r="CF4" s="1788"/>
      <c r="CG4" s="1788"/>
      <c r="CH4" s="1789"/>
    </row>
    <row r="5" spans="1:155" ht="12.75" customHeight="1" thickBot="1">
      <c r="A5" s="1817" t="str">
        <f>"Año:  " &amp;Criterios!B5 &amp; "                  Trimestre   " &amp;Criterios!D5 &amp; " al " &amp;Criterios!D6</f>
        <v>Año:  2022                  Trimestre   1 al 4</v>
      </c>
      <c r="B5" s="1819" t="s">
        <v>512</v>
      </c>
      <c r="C5" s="1822" t="s">
        <v>49</v>
      </c>
      <c r="D5" s="1828" t="s">
        <v>40</v>
      </c>
      <c r="E5" s="1829"/>
      <c r="F5" s="1829"/>
      <c r="G5" s="1829"/>
      <c r="H5" s="1830"/>
      <c r="I5" s="1834" t="s">
        <v>84</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176</v>
      </c>
      <c r="AP5" s="1793" t="s">
        <v>177</v>
      </c>
      <c r="AQ5" s="1793" t="s">
        <v>123</v>
      </c>
      <c r="AR5" s="1793" t="s">
        <v>178</v>
      </c>
      <c r="AS5" s="1805" t="s">
        <v>211</v>
      </c>
      <c r="AT5" s="1805" t="s">
        <v>212</v>
      </c>
      <c r="AU5" s="1805" t="s">
        <v>303</v>
      </c>
      <c r="AV5" s="1805" t="s">
        <v>301</v>
      </c>
      <c r="AW5" s="1805" t="s">
        <v>304</v>
      </c>
      <c r="AX5" s="1805" t="s">
        <v>302</v>
      </c>
      <c r="AY5" s="1799" t="s">
        <v>152</v>
      </c>
      <c r="AZ5" s="1853"/>
      <c r="BA5" s="1853"/>
      <c r="BB5" s="1853"/>
      <c r="BC5" s="1854"/>
      <c r="BD5" s="1799" t="s">
        <v>153</v>
      </c>
      <c r="BE5" s="1800"/>
      <c r="BF5" s="1800"/>
      <c r="BG5" s="1801"/>
      <c r="BH5" s="1793" t="s">
        <v>188</v>
      </c>
      <c r="BI5" s="1793" t="s">
        <v>189</v>
      </c>
      <c r="BJ5" s="1850" t="s">
        <v>269</v>
      </c>
      <c r="BK5" s="1810" t="s">
        <v>272</v>
      </c>
      <c r="BL5" s="1810" t="s">
        <v>279</v>
      </c>
      <c r="BM5" s="1847" t="s">
        <v>409</v>
      </c>
      <c r="BN5" s="1630" t="s">
        <v>258</v>
      </c>
      <c r="BO5" s="1631"/>
      <c r="BP5" s="1630" t="s">
        <v>259</v>
      </c>
      <c r="BQ5" s="1631"/>
      <c r="BR5" s="1630" t="s">
        <v>260</v>
      </c>
      <c r="BS5" s="1631"/>
      <c r="BT5" s="1630" t="s">
        <v>261</v>
      </c>
      <c r="BU5" s="1631"/>
      <c r="BV5" s="1807" t="s">
        <v>345</v>
      </c>
      <c r="BW5" s="1813" t="s">
        <v>323</v>
      </c>
      <c r="BX5" s="1813" t="s">
        <v>324</v>
      </c>
      <c r="BY5" s="1796" t="s">
        <v>332</v>
      </c>
      <c r="BZ5" s="1796" t="s">
        <v>458</v>
      </c>
      <c r="CA5" s="1816" t="s">
        <v>361</v>
      </c>
      <c r="CB5" s="1816" t="s">
        <v>352</v>
      </c>
      <c r="CC5" s="1816" t="s">
        <v>353</v>
      </c>
      <c r="CD5" s="1816" t="s">
        <v>354</v>
      </c>
      <c r="CE5" s="1790" t="s">
        <v>365</v>
      </c>
      <c r="CF5" s="1790" t="s">
        <v>344</v>
      </c>
      <c r="CG5" s="1790" t="s">
        <v>342</v>
      </c>
      <c r="CH5" s="1790" t="s">
        <v>343</v>
      </c>
      <c r="CI5" s="1864" t="s">
        <v>372</v>
      </c>
      <c r="CJ5" s="1864" t="s">
        <v>373</v>
      </c>
      <c r="CK5" s="1774" t="s">
        <v>543</v>
      </c>
      <c r="CL5" s="1774" t="s">
        <v>544</v>
      </c>
      <c r="CM5" s="1774" t="s">
        <v>582</v>
      </c>
      <c r="CN5" s="1858" t="s">
        <v>480</v>
      </c>
      <c r="CO5" s="1858" t="s">
        <v>473</v>
      </c>
      <c r="CP5" s="1858" t="s">
        <v>479</v>
      </c>
      <c r="CQ5" s="1873" t="s">
        <v>478</v>
      </c>
      <c r="CR5" s="1873" t="s">
        <v>478</v>
      </c>
      <c r="CS5" s="1790" t="s">
        <v>499</v>
      </c>
      <c r="CT5" s="1790" t="s">
        <v>502</v>
      </c>
      <c r="CU5" s="1790" t="s">
        <v>287</v>
      </c>
      <c r="CV5" s="1790" t="s">
        <v>401</v>
      </c>
      <c r="CW5" s="1790" t="s">
        <v>432</v>
      </c>
      <c r="CX5" s="1790" t="s">
        <v>443</v>
      </c>
      <c r="CY5" s="1790" t="s">
        <v>569</v>
      </c>
      <c r="CZ5" s="1790" t="s">
        <v>570</v>
      </c>
      <c r="DA5" s="1790" t="s">
        <v>571</v>
      </c>
      <c r="DB5" s="1762" t="s">
        <v>252</v>
      </c>
      <c r="DC5" s="1762" t="s">
        <v>253</v>
      </c>
      <c r="DD5" s="1762" t="s">
        <v>254</v>
      </c>
      <c r="DE5" s="1781" t="s">
        <v>225</v>
      </c>
      <c r="DF5" s="1781" t="s">
        <v>524</v>
      </c>
      <c r="DG5" s="1790" t="s">
        <v>584</v>
      </c>
      <c r="DH5" s="1774" t="s">
        <v>543</v>
      </c>
      <c r="DI5" s="1774" t="s">
        <v>544</v>
      </c>
      <c r="DJ5" s="1774" t="s">
        <v>581</v>
      </c>
      <c r="DK5" s="1774" t="s">
        <v>635</v>
      </c>
      <c r="DL5" s="1774" t="s">
        <v>639</v>
      </c>
      <c r="DM5" s="1777" t="s">
        <v>709</v>
      </c>
      <c r="DN5" s="1777" t="s">
        <v>710</v>
      </c>
      <c r="DO5" s="1777" t="s">
        <v>711</v>
      </c>
      <c r="DP5" s="1777" t="s">
        <v>712</v>
      </c>
      <c r="DQ5" s="1777" t="s">
        <v>713</v>
      </c>
      <c r="DR5" s="1777" t="s">
        <v>714</v>
      </c>
      <c r="DS5" s="1777" t="s">
        <v>715</v>
      </c>
      <c r="DT5" s="1777" t="s">
        <v>716</v>
      </c>
      <c r="DU5" s="1778" t="s">
        <v>717</v>
      </c>
      <c r="DV5" s="1756" t="s">
        <v>718</v>
      </c>
      <c r="DW5" s="1753" t="s">
        <v>719</v>
      </c>
      <c r="DX5" s="1777" t="s">
        <v>720</v>
      </c>
      <c r="DY5" s="1750" t="s">
        <v>721</v>
      </c>
      <c r="DZ5" s="1753" t="s">
        <v>722</v>
      </c>
      <c r="EA5" s="1750" t="s">
        <v>723</v>
      </c>
      <c r="EB5" s="1784" t="s">
        <v>783</v>
      </c>
      <c r="EC5" s="1784" t="s">
        <v>784</v>
      </c>
      <c r="ED5" s="1784" t="s">
        <v>785</v>
      </c>
      <c r="EE5" s="1784" t="s">
        <v>825</v>
      </c>
      <c r="EF5" s="1784" t="s">
        <v>829</v>
      </c>
      <c r="EG5" s="1750" t="s">
        <v>827</v>
      </c>
      <c r="EH5" s="1750" t="s">
        <v>828</v>
      </c>
      <c r="EI5" s="1750" t="s">
        <v>787</v>
      </c>
      <c r="EJ5" s="1750" t="s">
        <v>788</v>
      </c>
      <c r="EK5" s="1765" t="s">
        <v>876</v>
      </c>
      <c r="EL5" s="1768" t="s">
        <v>894</v>
      </c>
      <c r="EM5" s="1769"/>
      <c r="EN5" s="1770"/>
      <c r="EO5" s="1762" t="s">
        <v>994</v>
      </c>
      <c r="EP5" s="1762" t="s">
        <v>996</v>
      </c>
      <c r="EQ5" s="1762" t="s">
        <v>997</v>
      </c>
      <c r="ER5" s="1762" t="s">
        <v>1010</v>
      </c>
      <c r="ES5" s="1762" t="s">
        <v>1012</v>
      </c>
      <c r="ET5" s="1759" t="s">
        <v>1097</v>
      </c>
      <c r="EU5" s="1759" t="s">
        <v>1098</v>
      </c>
      <c r="EV5" s="1870" t="s">
        <v>1119</v>
      </c>
      <c r="EW5" s="1870" t="s">
        <v>1125</v>
      </c>
      <c r="EX5" s="1867" t="s">
        <v>1161</v>
      </c>
      <c r="EY5" s="1861" t="s">
        <v>1175</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151</v>
      </c>
      <c r="T6" s="1837"/>
      <c r="U6" s="1837"/>
      <c r="V6" s="1837"/>
      <c r="W6" s="1839"/>
      <c r="X6" s="1840"/>
      <c r="Y6" s="1841" t="s">
        <v>46</v>
      </c>
      <c r="Z6" s="1842"/>
      <c r="AA6" s="1842"/>
      <c r="AB6" s="1843"/>
      <c r="AC6" s="1841" t="s">
        <v>47</v>
      </c>
      <c r="AD6" s="1842"/>
      <c r="AE6" s="1842"/>
      <c r="AF6" s="1846"/>
      <c r="AG6" s="1825" t="s">
        <v>85</v>
      </c>
      <c r="AH6" s="1826"/>
      <c r="AI6" s="1826"/>
      <c r="AJ6" s="1827"/>
      <c r="AK6" s="1844" t="s">
        <v>86</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t="s">
        <v>218</v>
      </c>
      <c r="BO6" s="1628" t="s">
        <v>219</v>
      </c>
      <c r="BP6" s="1628" t="s">
        <v>218</v>
      </c>
      <c r="BQ6" s="1628" t="s">
        <v>219</v>
      </c>
      <c r="BR6" s="1628" t="s">
        <v>218</v>
      </c>
      <c r="BS6" s="1628" t="s">
        <v>219</v>
      </c>
      <c r="BT6" s="1628" t="s">
        <v>218</v>
      </c>
      <c r="BU6" s="1628" t="s">
        <v>219</v>
      </c>
      <c r="BV6" s="1808"/>
      <c r="BW6" s="1814"/>
      <c r="BX6" s="1814"/>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79"/>
      <c r="DV6" s="1757"/>
      <c r="DW6" s="1754"/>
      <c r="DX6" s="1677"/>
      <c r="DY6" s="1751"/>
      <c r="DZ6" s="1754"/>
      <c r="EA6" s="1751"/>
      <c r="EB6" s="1785"/>
      <c r="EC6" s="1785"/>
      <c r="ED6" s="1785"/>
      <c r="EE6" s="1785"/>
      <c r="EF6" s="1785"/>
      <c r="EG6" s="1751"/>
      <c r="EH6" s="1751"/>
      <c r="EI6" s="1751"/>
      <c r="EJ6" s="1751"/>
      <c r="EK6" s="1766"/>
      <c r="EL6" s="1771"/>
      <c r="EM6" s="1772"/>
      <c r="EN6" s="1773"/>
      <c r="EO6" s="1763"/>
      <c r="EP6" s="1763"/>
      <c r="EQ6" s="1763"/>
      <c r="ER6" s="1763"/>
      <c r="ES6" s="1763"/>
      <c r="ET6" s="1760"/>
      <c r="EU6" s="1760"/>
      <c r="EV6" s="1871"/>
      <c r="EW6" s="1871"/>
      <c r="EX6" s="1868"/>
      <c r="EY6" s="1862"/>
    </row>
    <row r="7" spans="1:155" ht="87" customHeight="1" thickBot="1">
      <c r="A7" s="72" t="s">
        <v>993</v>
      </c>
      <c r="B7" s="1821"/>
      <c r="C7" s="1824"/>
      <c r="D7" s="69" t="s">
        <v>513</v>
      </c>
      <c r="E7" s="70" t="s">
        <v>170</v>
      </c>
      <c r="F7" s="70" t="s">
        <v>169</v>
      </c>
      <c r="G7" s="131" t="s">
        <v>51</v>
      </c>
      <c r="H7" s="132" t="s">
        <v>514</v>
      </c>
      <c r="I7" s="9" t="s">
        <v>23</v>
      </c>
      <c r="J7" s="10" t="s">
        <v>18</v>
      </c>
      <c r="K7" s="10" t="s">
        <v>14</v>
      </c>
      <c r="L7" s="11" t="s">
        <v>24</v>
      </c>
      <c r="M7" s="9" t="s">
        <v>12</v>
      </c>
      <c r="N7" s="10" t="s">
        <v>13</v>
      </c>
      <c r="O7" s="172" t="s">
        <v>281</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131</v>
      </c>
      <c r="BG7" s="106" t="s">
        <v>132</v>
      </c>
      <c r="BH7" s="1795"/>
      <c r="BI7" s="1795"/>
      <c r="BJ7" s="1852"/>
      <c r="BK7" s="1812"/>
      <c r="BL7" s="1812"/>
      <c r="BM7" s="1849"/>
      <c r="BN7" s="1629"/>
      <c r="BO7" s="1629"/>
      <c r="BP7" s="1629"/>
      <c r="BQ7" s="1629"/>
      <c r="BR7" s="1629"/>
      <c r="BS7" s="1629"/>
      <c r="BT7" s="1629"/>
      <c r="BU7" s="1629"/>
      <c r="BV7" s="1809"/>
      <c r="BW7" s="1815"/>
      <c r="BX7" s="1815"/>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80"/>
      <c r="DV7" s="1758"/>
      <c r="DW7" s="1755"/>
      <c r="DX7" s="1678"/>
      <c r="DY7" s="1752"/>
      <c r="DZ7" s="1755"/>
      <c r="EA7" s="1752"/>
      <c r="EB7" s="1786"/>
      <c r="EC7" s="1786"/>
      <c r="ED7" s="1786"/>
      <c r="EE7" s="1786"/>
      <c r="EF7" s="1786"/>
      <c r="EG7" s="1752"/>
      <c r="EH7" s="1752"/>
      <c r="EI7" s="1752"/>
      <c r="EJ7" s="1752"/>
      <c r="EK7" s="1767"/>
      <c r="EL7" s="851" t="s">
        <v>895</v>
      </c>
      <c r="EM7" s="851" t="s">
        <v>129</v>
      </c>
      <c r="EN7" s="851" t="s">
        <v>130</v>
      </c>
      <c r="EO7" s="1764"/>
      <c r="EP7" s="1764"/>
      <c r="EQ7" s="1764"/>
      <c r="ER7" s="1764"/>
      <c r="ES7" s="1764"/>
      <c r="ET7" s="1761"/>
      <c r="EU7" s="1761"/>
      <c r="EV7" s="1872"/>
      <c r="EW7" s="1872"/>
      <c r="EX7" s="1869"/>
      <c r="EY7" s="1863"/>
    </row>
    <row r="8" spans="1:155" ht="14.25" customHeight="1" thickBot="1">
      <c r="A8" s="73" t="s">
        <v>145</v>
      </c>
      <c r="B8" s="151" t="s">
        <v>515</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595</v>
      </c>
      <c r="DI8" s="53" t="s">
        <v>596</v>
      </c>
      <c r="DJ8" s="532" t="s">
        <v>597</v>
      </c>
      <c r="DK8" s="532" t="s">
        <v>636</v>
      </c>
      <c r="DL8" s="532" t="s">
        <v>637</v>
      </c>
      <c r="DM8" s="532" t="s">
        <v>724</v>
      </c>
      <c r="DN8" s="532" t="s">
        <v>725</v>
      </c>
      <c r="DO8" s="532" t="s">
        <v>726</v>
      </c>
      <c r="DP8" s="532" t="s">
        <v>727</v>
      </c>
      <c r="DQ8" s="532" t="s">
        <v>728</v>
      </c>
      <c r="DR8" s="532" t="s">
        <v>729</v>
      </c>
      <c r="DS8" s="532" t="s">
        <v>730</v>
      </c>
      <c r="DT8" s="532" t="s">
        <v>731</v>
      </c>
      <c r="DU8" s="538" t="s">
        <v>732</v>
      </c>
      <c r="DV8" s="532" t="s">
        <v>733</v>
      </c>
      <c r="DW8" s="532" t="s">
        <v>734</v>
      </c>
      <c r="DX8" s="532" t="s">
        <v>735</v>
      </c>
      <c r="DY8" s="532" t="s">
        <v>736</v>
      </c>
      <c r="DZ8" s="532" t="s">
        <v>737</v>
      </c>
      <c r="EA8" s="532" t="s">
        <v>738</v>
      </c>
      <c r="EB8" s="532" t="s">
        <v>795</v>
      </c>
      <c r="EC8" s="532" t="s">
        <v>796</v>
      </c>
      <c r="ED8" s="532" t="s">
        <v>797</v>
      </c>
      <c r="EE8" s="532" t="s">
        <v>798</v>
      </c>
      <c r="EF8" s="532" t="s">
        <v>799</v>
      </c>
      <c r="EG8" s="532" t="s">
        <v>800</v>
      </c>
      <c r="EH8" s="532" t="s">
        <v>801</v>
      </c>
      <c r="EI8" s="532" t="s">
        <v>802</v>
      </c>
      <c r="EJ8" s="532" t="s">
        <v>803</v>
      </c>
      <c r="EK8" s="532" t="s">
        <v>877</v>
      </c>
      <c r="EL8" s="852" t="s">
        <v>896</v>
      </c>
      <c r="EM8" s="852" t="s">
        <v>897</v>
      </c>
      <c r="EN8" s="852" t="s">
        <v>898</v>
      </c>
      <c r="EO8" s="53" t="s">
        <v>995</v>
      </c>
      <c r="EP8" s="53" t="s">
        <v>1000</v>
      </c>
      <c r="EQ8" s="53" t="s">
        <v>1001</v>
      </c>
      <c r="ER8" s="53" t="s">
        <v>1011</v>
      </c>
      <c r="ES8" s="532" t="s">
        <v>1013</v>
      </c>
      <c r="ET8" s="1519" t="s">
        <v>1099</v>
      </c>
      <c r="EU8" s="1519" t="s">
        <v>1100</v>
      </c>
      <c r="EV8" s="165" t="s">
        <v>1108</v>
      </c>
      <c r="EW8" s="165">
        <v>153</v>
      </c>
      <c r="EX8" s="532" t="s">
        <v>1160</v>
      </c>
      <c r="EY8" s="532" t="s">
        <v>1174</v>
      </c>
    </row>
    <row r="9" spans="1:155" ht="14.25" customHeight="1">
      <c r="A9" s="20" t="s">
        <v>72</v>
      </c>
      <c r="B9" s="21" t="s">
        <v>515</v>
      </c>
      <c r="C9" s="22" t="s">
        <v>8</v>
      </c>
      <c r="D9" s="23" t="s">
        <v>25</v>
      </c>
      <c r="E9" s="21" t="s">
        <v>26</v>
      </c>
      <c r="F9" s="21">
        <v>32</v>
      </c>
      <c r="G9" s="6"/>
      <c r="H9" s="146" t="s">
        <v>316</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184</v>
      </c>
      <c r="B10" s="21" t="s">
        <v>515</v>
      </c>
      <c r="C10" s="22" t="s">
        <v>8</v>
      </c>
      <c r="D10" s="23" t="s">
        <v>114</v>
      </c>
      <c r="E10" s="21" t="s">
        <v>114</v>
      </c>
      <c r="F10" s="21" t="s">
        <v>179</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516</v>
      </c>
      <c r="B11" s="21" t="s">
        <v>515</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517</v>
      </c>
      <c r="B12" s="21" t="s">
        <v>515</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515</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515</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515</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518</v>
      </c>
      <c r="B16" s="21" t="s">
        <v>515</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517</v>
      </c>
      <c r="B17" s="21" t="s">
        <v>515</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184</v>
      </c>
      <c r="B18" s="21" t="s">
        <v>515</v>
      </c>
      <c r="C18" s="22" t="s">
        <v>8</v>
      </c>
      <c r="D18" s="23" t="s">
        <v>114</v>
      </c>
      <c r="E18" s="21" t="s">
        <v>114</v>
      </c>
      <c r="F18" s="21" t="s">
        <v>179</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519</v>
      </c>
      <c r="B19" s="21" t="s">
        <v>515</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520</v>
      </c>
      <c r="B20" s="21" t="s">
        <v>515</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521</v>
      </c>
      <c r="B21" s="21" t="s">
        <v>515</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522</v>
      </c>
      <c r="B22" s="21" t="s">
        <v>515</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515</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515</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515</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515</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515</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515</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515</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515</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qLEYSzJO86q0GQhPoH7LroEJcS4QxTyQ4ca6hpIBYH73HsA279UebZs3KwxKLShtrY8b6KAE0yipIW45iA09eg==" saltValue="R+YDWwhHFhCvK3GMhJxIXg==" spinCount="100000" sheet="1" objects="1" scenarios="1"/>
  <mergeCells count="123">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 ref="CK5:CK7"/>
    <mergeCell ref="CL5:CL7"/>
    <mergeCell ref="CM5:CM7"/>
    <mergeCell ref="CN5:CN7"/>
    <mergeCell ref="CO5:CO7"/>
    <mergeCell ref="CP5:CP7"/>
    <mergeCell ref="CQ5:CQ7"/>
    <mergeCell ref="BZ5:BZ7"/>
    <mergeCell ref="CA5:CA7"/>
    <mergeCell ref="CB5:CB7"/>
    <mergeCell ref="CC5:CC7"/>
    <mergeCell ref="CD5:CD7"/>
    <mergeCell ref="CE5:CE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CATALUÑA</v>
      </c>
      <c r="F1" s="856"/>
    </row>
    <row r="2" spans="1:75" ht="16.5" customHeight="1">
      <c r="C2" s="567" t="str">
        <f>Criterios!A10 &amp;"  "&amp;Criterios!B10 &amp; "  " &amp; IF(NOT(ISBLANK(Criterios!A11)),Criterios!A11 &amp;"  "&amp;Criterios!B11,"")</f>
        <v>Provincias  LLEIDA  Resumenes por Partidos Judiciales  LLEIDA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68" t="s">
        <v>461</v>
      </c>
      <c r="B5" s="297"/>
      <c r="C5" s="1668" t="str">
        <f>"Año:  " &amp;Criterios!B$5 &amp; "          Trimestre   " &amp;Criterios!D$5 &amp; " al " &amp;Criterios!D$6</f>
        <v>Año:  2022          Trimestre   1 al 4</v>
      </c>
      <c r="D5" s="1885" t="s">
        <v>487</v>
      </c>
      <c r="E5" s="1885" t="s">
        <v>752</v>
      </c>
      <c r="F5" s="1914" t="s">
        <v>523</v>
      </c>
      <c r="G5" s="1885" t="s">
        <v>173</v>
      </c>
      <c r="H5" s="1885" t="s">
        <v>785</v>
      </c>
      <c r="I5" s="1885" t="s">
        <v>753</v>
      </c>
      <c r="J5" s="1885" t="s">
        <v>870</v>
      </c>
      <c r="K5" s="1885" t="s">
        <v>754</v>
      </c>
      <c r="L5" s="1885" t="s">
        <v>709</v>
      </c>
      <c r="M5" s="1917" t="s">
        <v>783</v>
      </c>
      <c r="N5" s="1885" t="s">
        <v>927</v>
      </c>
      <c r="O5" s="1885" t="s">
        <v>886</v>
      </c>
      <c r="P5" s="1885" t="s">
        <v>225</v>
      </c>
      <c r="Q5" s="1920" t="s">
        <v>882</v>
      </c>
      <c r="R5" s="1920" t="s">
        <v>928</v>
      </c>
      <c r="S5" s="1885" t="s">
        <v>786</v>
      </c>
      <c r="T5" s="1920" t="s">
        <v>755</v>
      </c>
      <c r="U5" s="1920" t="s">
        <v>1038</v>
      </c>
      <c r="V5" s="1920" t="s">
        <v>1039</v>
      </c>
      <c r="W5" s="1903" t="s">
        <v>811</v>
      </c>
      <c r="X5" s="1906" t="s">
        <v>756</v>
      </c>
      <c r="Y5" s="1903" t="s">
        <v>757</v>
      </c>
      <c r="Z5" s="1903" t="s">
        <v>758</v>
      </c>
      <c r="AA5" s="1885" t="s">
        <v>887</v>
      </c>
      <c r="AB5" s="1885" t="s">
        <v>893</v>
      </c>
      <c r="AC5" s="1885" t="s">
        <v>239</v>
      </c>
      <c r="AD5" s="1891" t="s">
        <v>237</v>
      </c>
      <c r="AE5" s="1885" t="s">
        <v>888</v>
      </c>
      <c r="AF5" s="1894" t="s">
        <v>889</v>
      </c>
      <c r="AG5" s="1897" t="s">
        <v>718</v>
      </c>
      <c r="AH5" s="1885" t="s">
        <v>719</v>
      </c>
      <c r="AI5" s="1885" t="s">
        <v>809</v>
      </c>
      <c r="AJ5" s="1900" t="s">
        <v>810</v>
      </c>
      <c r="AK5" s="1897" t="s">
        <v>240</v>
      </c>
      <c r="AL5" s="1885" t="s">
        <v>762</v>
      </c>
      <c r="AM5" s="1885" t="s">
        <v>318</v>
      </c>
      <c r="AN5" s="1885" t="s">
        <v>319</v>
      </c>
      <c r="AO5" s="1885" t="s">
        <v>320</v>
      </c>
      <c r="AP5" s="1885" t="s">
        <v>763</v>
      </c>
      <c r="AQ5" s="1885" t="s">
        <v>321</v>
      </c>
      <c r="AR5" s="1885" t="s">
        <v>764</v>
      </c>
      <c r="AS5" s="1885" t="s">
        <v>765</v>
      </c>
      <c r="AT5" s="1885" t="s">
        <v>766</v>
      </c>
      <c r="AU5" s="1885" t="s">
        <v>794</v>
      </c>
      <c r="AV5" s="1885" t="s">
        <v>787</v>
      </c>
      <c r="AW5" s="1885" t="s">
        <v>1120</v>
      </c>
      <c r="AX5" s="1885" t="s">
        <v>1124</v>
      </c>
      <c r="AY5" s="1885" t="s">
        <v>1126</v>
      </c>
      <c r="AZ5" s="1885" t="s">
        <v>788</v>
      </c>
      <c r="BA5" s="1885" t="s">
        <v>1175</v>
      </c>
      <c r="BB5" s="1885" t="s">
        <v>767</v>
      </c>
      <c r="BC5" s="1885" t="s">
        <v>717</v>
      </c>
      <c r="BW5" s="1885" t="s">
        <v>1040</v>
      </c>
    </row>
    <row r="6" spans="1:75" ht="21.75" customHeight="1">
      <c r="A6" s="1936"/>
      <c r="B6" s="880"/>
      <c r="C6" s="1938"/>
      <c r="D6" s="1886"/>
      <c r="E6" s="1886"/>
      <c r="F6" s="1915"/>
      <c r="G6" s="1886"/>
      <c r="H6" s="1886"/>
      <c r="I6" s="1886"/>
      <c r="J6" s="1886"/>
      <c r="K6" s="1886"/>
      <c r="L6" s="1886"/>
      <c r="M6" s="1918"/>
      <c r="N6" s="1886"/>
      <c r="O6" s="1886"/>
      <c r="P6" s="1886"/>
      <c r="Q6" s="1921"/>
      <c r="R6" s="1921"/>
      <c r="S6" s="1886"/>
      <c r="T6" s="1921"/>
      <c r="U6" s="1921"/>
      <c r="V6" s="1921"/>
      <c r="W6" s="1904"/>
      <c r="X6" s="1907"/>
      <c r="Y6" s="1904"/>
      <c r="Z6" s="1904"/>
      <c r="AA6" s="1886"/>
      <c r="AB6" s="1886"/>
      <c r="AC6" s="1886"/>
      <c r="AD6" s="1892"/>
      <c r="AE6" s="1886"/>
      <c r="AF6" s="1895"/>
      <c r="AG6" s="1898"/>
      <c r="AH6" s="1886"/>
      <c r="AI6" s="1886"/>
      <c r="AJ6" s="1901"/>
      <c r="AK6" s="1898"/>
      <c r="AL6" s="1886"/>
      <c r="AM6" s="1886"/>
      <c r="AN6" s="1886"/>
      <c r="AO6" s="1886"/>
      <c r="AP6" s="1886"/>
      <c r="AQ6" s="1886"/>
      <c r="AR6" s="1886"/>
      <c r="AS6" s="1886"/>
      <c r="AT6" s="1886"/>
      <c r="AU6" s="1886"/>
      <c r="AV6" s="1886"/>
      <c r="AW6" s="1886"/>
      <c r="AX6" s="1886"/>
      <c r="AY6" s="1886"/>
      <c r="AZ6" s="1886"/>
      <c r="BA6" s="1886"/>
      <c r="BB6" s="1886"/>
      <c r="BC6" s="1886"/>
      <c r="BW6" s="1886"/>
    </row>
    <row r="7" spans="1:75" ht="38.25" customHeight="1" thickBot="1">
      <c r="A7" s="1937"/>
      <c r="B7" s="881"/>
      <c r="C7" s="882" t="str">
        <f>DatosP!A7</f>
        <v>COMPETENCIAS</v>
      </c>
      <c r="D7" s="1887"/>
      <c r="E7" s="1887"/>
      <c r="F7" s="1916"/>
      <c r="G7" s="1887"/>
      <c r="H7" s="1887"/>
      <c r="I7" s="1887"/>
      <c r="J7" s="1887"/>
      <c r="K7" s="1887"/>
      <c r="L7" s="1887"/>
      <c r="M7" s="1919"/>
      <c r="N7" s="1887"/>
      <c r="O7" s="1887"/>
      <c r="P7" s="1887"/>
      <c r="Q7" s="1922"/>
      <c r="R7" s="1922"/>
      <c r="S7" s="1887"/>
      <c r="T7" s="1922"/>
      <c r="U7" s="1922"/>
      <c r="V7" s="1922"/>
      <c r="W7" s="1905"/>
      <c r="X7" s="1908"/>
      <c r="Y7" s="1905"/>
      <c r="Z7" s="1905"/>
      <c r="AA7" s="1887"/>
      <c r="AB7" s="1887"/>
      <c r="AC7" s="1887"/>
      <c r="AD7" s="1893"/>
      <c r="AE7" s="1887"/>
      <c r="AF7" s="1896"/>
      <c r="AG7" s="1899"/>
      <c r="AH7" s="1887"/>
      <c r="AI7" s="1887"/>
      <c r="AJ7" s="1902"/>
      <c r="AK7" s="1899"/>
      <c r="AL7" s="1887"/>
      <c r="AM7" s="1887"/>
      <c r="AN7" s="1887"/>
      <c r="AO7" s="1887"/>
      <c r="AP7" s="1887"/>
      <c r="AQ7" s="1887"/>
      <c r="AR7" s="1887"/>
      <c r="AS7" s="1887"/>
      <c r="AT7" s="1887"/>
      <c r="AU7" s="1887"/>
      <c r="AV7" s="1887"/>
      <c r="AW7" s="1887"/>
      <c r="AX7" s="1887"/>
      <c r="AY7" s="1887"/>
      <c r="AZ7" s="1887"/>
      <c r="BA7" s="1887"/>
      <c r="BB7" s="1887"/>
      <c r="BC7" s="1887"/>
      <c r="BW7" s="1887"/>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317</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317</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317</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317</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317</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0.23451527481754181</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507</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507</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507</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507</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507</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507</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507</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508</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509</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509</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337</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338</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0.16582734111531058</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542</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335</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336</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14 abr. 2023</v>
      </c>
    </row>
    <row r="44" spans="1:75">
      <c r="C44" s="1048"/>
      <c r="D44" s="1049"/>
    </row>
  </sheetData>
  <sheetProtection algorithmName="SHA-512" hashValue="kwr1UUElSzXRjMO09cagL9NWzyyERXeJlSwweXIUjUSy/er9rKbbBOl2DCFyl3OCme+SZh8xzq3GvTGv6zmAjQ==" saltValue="4e0qax9KtRpEIcAEf1hRSQ==" spinCount="100000" sheet="1" objects="1" scenarios="1"/>
  <mergeCells count="55">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W5:BW7"/>
    <mergeCell ref="AZ5:AZ7"/>
    <mergeCell ref="BB5:BB7"/>
    <mergeCell ref="BC5:BC7"/>
    <mergeCell ref="AR5:AR7"/>
    <mergeCell ref="AS5:AS7"/>
    <mergeCell ref="AT5:AT7"/>
    <mergeCell ref="AU5:AU7"/>
    <mergeCell ref="AV5:AV7"/>
    <mergeCell ref="AX5:AX7"/>
    <mergeCell ref="AW5:AW7"/>
    <mergeCell ref="AY5:AY7"/>
    <mergeCell ref="BA5:BA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gOIneJNW0U4nt4nF7Z810qPxz5mHbQOsraRl1zd45+qK95C/257Rt+BBPu79mE0e/tzpNwBqM1jIYqD2sfut5A==" saltValue="rEnduRFXI99krwAf6+q8w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CATALUÑA</v>
      </c>
      <c r="C2" s="436"/>
      <c r="D2" s="436"/>
      <c r="E2" s="436"/>
      <c r="F2" s="436"/>
    </row>
    <row r="3" spans="1:14" ht="19.5">
      <c r="A3" s="438" t="s">
        <v>159</v>
      </c>
      <c r="B3" s="439" t="str">
        <f>Criterios!A10 &amp;"  "&amp;Criterios!B10</f>
        <v>Provincias  LLEIDA</v>
      </c>
      <c r="D3" s="436"/>
      <c r="E3" s="436"/>
      <c r="F3" s="436"/>
    </row>
    <row r="4" spans="1:14" ht="13.5" thickBot="1">
      <c r="A4" s="436"/>
      <c r="B4" s="439" t="str">
        <f>Criterios!A11 &amp;"  "&amp;Criterios!B11</f>
        <v>Resumenes por Partidos Judiciales  LLEIDA</v>
      </c>
      <c r="C4" s="436"/>
      <c r="D4" s="436"/>
      <c r="E4" s="436"/>
      <c r="F4" s="436"/>
    </row>
    <row r="5" spans="1:14" ht="15.75" customHeight="1">
      <c r="A5" s="1579" t="str">
        <f>"Año:  " &amp;Criterios!B5 &amp; "     Trimestre   " &amp;Criterios!D5 &amp; " al " &amp;Criterios!D6</f>
        <v>Año:  2022     Trimestre   1 al 4</v>
      </c>
      <c r="B5" s="1081" t="s">
        <v>160</v>
      </c>
      <c r="C5" s="1581" t="s">
        <v>173</v>
      </c>
      <c r="D5" s="1582"/>
      <c r="E5" s="1581" t="s">
        <v>126</v>
      </c>
      <c r="F5" s="1582"/>
      <c r="G5" s="1581" t="s">
        <v>14</v>
      </c>
      <c r="H5" s="1582"/>
      <c r="I5" s="1581" t="s">
        <v>174</v>
      </c>
      <c r="J5" s="1582"/>
      <c r="K5" s="1588" t="s">
        <v>999</v>
      </c>
      <c r="L5" s="1572" t="s">
        <v>1062</v>
      </c>
      <c r="M5" s="1572" t="s">
        <v>1162</v>
      </c>
      <c r="N5" s="1575" t="s">
        <v>998</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993</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7</v>
      </c>
      <c r="C9" s="451">
        <f>IF(ISNUMBER(IF(J_V="SI",Datos!I9,Datos!I9+Datos!Y9)),IF(J_V="SI",Datos!I9,Datos!I9+Datos!Y9)," - ")</f>
        <v>5611</v>
      </c>
      <c r="D9" s="452">
        <f>IF(ISNUMBER(C9/Datos!BH9),C9/Datos!BH9," - ")</f>
        <v>801.57142857142856</v>
      </c>
      <c r="E9" s="451">
        <f>IF(ISNUMBER(IF(J_V="SI",Datos!J9,Datos!J9+Datos!Z9)),IF(J_V="SI",Datos!J9,Datos!J9+Datos!Z9)," - ")</f>
        <v>14028</v>
      </c>
      <c r="F9" s="452">
        <f>IF(ISNUMBER(E9/B9),E9/B9," - ")</f>
        <v>2004</v>
      </c>
      <c r="G9" s="451">
        <f>IF(ISNUMBER(IF(J_V="SI",Datos!K9,Datos!K9+Datos!AA9)),IF(J_V="SI",Datos!K9,Datos!K9+Datos!AA9)," - ")</f>
        <v>12853</v>
      </c>
      <c r="H9" s="452">
        <f>IF(ISNUMBER(G9/B9),G9/B9," - ")</f>
        <v>1836.1428571428571</v>
      </c>
      <c r="I9" s="451">
        <f>IF(ISNUMBER(IF(J_V="SI",Datos!L9,Datos!L9+Datos!AB9)),IF(J_V="SI",Datos!L9,Datos!L9+Datos!AB9)," - ")</f>
        <v>6929</v>
      </c>
      <c r="J9" s="452">
        <f>IF(ISNUMBER(I9/B9),I9/B9," - ")</f>
        <v>989.85714285714289</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128</v>
      </c>
      <c r="D10" s="452">
        <f>IF(ISNUMBER(C10/Datos!BH10),C10/Datos!BH10," - ")</f>
        <v>128</v>
      </c>
      <c r="E10" s="451">
        <f>IF(ISNUMBER(Datos!J10),Datos!J10," - ")</f>
        <v>228</v>
      </c>
      <c r="F10" s="452">
        <f>IF(ISNUMBER(E10/B10),E10/B10," - ")</f>
        <v>228</v>
      </c>
      <c r="G10" s="451">
        <f>IF(ISNUMBER(Datos!K10),Datos!K10," - ")</f>
        <v>197</v>
      </c>
      <c r="H10" s="452">
        <f>IF(ISNUMBER(G10/B10),G10/B10," - ")</f>
        <v>197</v>
      </c>
      <c r="I10" s="451">
        <f>IF(ISNUMBER(Datos!L10),Datos!L10," - ")</f>
        <v>159</v>
      </c>
      <c r="J10" s="452">
        <f>IF(ISNUMBER(I10/B10),I10/B10," - ")</f>
        <v>159</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2</v>
      </c>
      <c r="C11" s="451">
        <f>IF(ISNUMBER(IF(J_V="SI",Datos!I11,Datos!I11+Datos!Y11)),IF(J_V="SI",Datos!I11,Datos!I11+Datos!Y11)," - ")</f>
        <v>1884</v>
      </c>
      <c r="D11" s="452">
        <f>IF(ISNUMBER(C11/Datos!BH11),C11/Datos!BH11," - ")</f>
        <v>942</v>
      </c>
      <c r="E11" s="451">
        <f>IF(ISNUMBER(IF(J_V="SI",Datos!J11,Datos!J11+Datos!Z11)),IF(J_V="SI",Datos!J11,Datos!J11+Datos!Z11)," - ")</f>
        <v>2375</v>
      </c>
      <c r="F11" s="452">
        <f>IF(ISNUMBER(E11/B11),E11/B11," - ")</f>
        <v>1187.5</v>
      </c>
      <c r="G11" s="451">
        <f>IF(ISNUMBER(IF(J_V="SI",Datos!K11,Datos!K11+Datos!AA11)),IF(J_V="SI",Datos!K11,Datos!K11+Datos!AA11)," - ")</f>
        <v>2433</v>
      </c>
      <c r="H11" s="452">
        <f>IF(ISNUMBER(G11/B11),G11/B11," - ")</f>
        <v>1216.5</v>
      </c>
      <c r="I11" s="451">
        <f>IF(ISNUMBER(IF(J_V="SI",Datos!L11,Datos!L11+Datos!AB11)),IF(J_V="SI",Datos!L11,Datos!L11+Datos!AB11)," - ")</f>
        <v>889</v>
      </c>
      <c r="J11" s="452">
        <f>IF(ISNUMBER(I11/B11),I11/B11," - ")</f>
        <v>444.5</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0</v>
      </c>
      <c r="C12" s="451">
        <f>IF(ISNUMBER(IF(J_V="SI",Datos!I12,Datos!I12+Datos!Y12)),IF(J_V="SI",Datos!I12,Datos!I12+Datos!Y12)," - ")</f>
        <v>1</v>
      </c>
      <c r="D12" s="452" t="str">
        <f>IF(ISNUMBER(C12/Datos!BH12),C12/Datos!BH12," - ")</f>
        <v xml:space="preserve"> - </v>
      </c>
      <c r="E12" s="451">
        <f>IF(ISNUMBER(IF(J_V="SI",Datos!J12,Datos!J12+Datos!Z12)),IF(J_V="SI",Datos!J12,Datos!J12+Datos!Z12)," - ")</f>
        <v>0</v>
      </c>
      <c r="F12" s="452" t="str">
        <f>IF(ISNUMBER(E12/B12),E12/B12," - ")</f>
        <v xml:space="preserve"> - </v>
      </c>
      <c r="G12" s="451">
        <f>IF(ISNUMBER(IF(J_V="SI",Datos!K12,Datos!K12+Datos!AA12)),IF(J_V="SI",Datos!K12,Datos!K12+Datos!AA12)," - ")</f>
        <v>0</v>
      </c>
      <c r="H12" s="452" t="str">
        <f>IF(ISNUMBER(G12/B12),G12/B12," - ")</f>
        <v xml:space="preserve"> - </v>
      </c>
      <c r="I12" s="451">
        <f>IF(ISNUMBER(IF(J_V="SI",Datos!L12,Datos!L12+Datos!AB12)),IF(J_V="SI",Datos!L12,Datos!L12+Datos!AB12)," - ")</f>
        <v>1</v>
      </c>
      <c r="J12" s="452" t="str">
        <f>IF(ISNUMBER(I12/B12),I12/B12," - ")</f>
        <v xml:space="preserve"> - </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10</v>
      </c>
      <c r="C14" s="1146">
        <f>SUBTOTAL(9,C8:C13)</f>
        <v>7624</v>
      </c>
      <c r="D14" s="1147" t="str">
        <f>IF(ISNUMBER(C14/Datos!BI14),C14/Datos!BI14," - ")</f>
        <v xml:space="preserve"> - </v>
      </c>
      <c r="E14" s="1146">
        <f>SUBTOTAL(9,E8:E13)</f>
        <v>16631</v>
      </c>
      <c r="F14" s="1147">
        <f>IF(ISNUMBER(E14/B14),E14/B14," - ")</f>
        <v>1663.1</v>
      </c>
      <c r="G14" s="1146">
        <f>SUBTOTAL(9,G8:G13)</f>
        <v>15483</v>
      </c>
      <c r="H14" s="1147">
        <f>IF(ISNUMBER(G14/B14),G14/B14," - ")</f>
        <v>1548.3</v>
      </c>
      <c r="I14" s="1146">
        <f>SUBTOTAL(9,I8:I13)</f>
        <v>7978</v>
      </c>
      <c r="J14" s="1147">
        <f>IF(ISNUMBER(I14/B14),I14/B14," - ")</f>
        <v>797.8</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4</v>
      </c>
      <c r="C16" s="451">
        <f>IF(ISNUMBER(IF(D_I="SI",Datos!I16,Datos!I16+Datos!AC16)),IF(D_I="SI",Datos!I16,Datos!I16+Datos!AC16)," - ")</f>
        <v>4590</v>
      </c>
      <c r="D16" s="452">
        <f>IF(ISNUMBER(C16/Datos!BH16),C16/Datos!BH16," - ")</f>
        <v>1147.5</v>
      </c>
      <c r="E16" s="451">
        <f>IF(ISNUMBER(IF(D_I="SI",Datos!J16,Datos!J16+Datos!AD16)),IF(D_I="SI",Datos!J16,Datos!J16+Datos!AD16)," - ")</f>
        <v>16366</v>
      </c>
      <c r="F16" s="452">
        <f>IF(ISNUMBER(E16/B16),E16/B16," - ")</f>
        <v>4091.5</v>
      </c>
      <c r="G16" s="451">
        <f>IF(ISNUMBER(IF(D_I="SI",Datos!K16,Datos!K16+Datos!AE16)),IF(D_I="SI",Datos!K16,Datos!K16+Datos!AE16)," - ")</f>
        <v>15842</v>
      </c>
      <c r="H16" s="452">
        <f>IF(ISNUMBER(G16/B16),G16/B16," - ")</f>
        <v>3960.5</v>
      </c>
      <c r="I16" s="451">
        <f>IF(ISNUMBER(IF(D_I="SI",Datos!L16,Datos!L16+Datos!AF16)),IF(D_I="SI",Datos!L16,Datos!L16+Datos!AF16)," - ")</f>
        <v>5276</v>
      </c>
      <c r="J16" s="452">
        <f>IF(ISNUMBER(I16/B16),I16/B16," - ")</f>
        <v>1319</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0</v>
      </c>
      <c r="C17" s="451" t="str">
        <f>IF(ISNUMBER(IF(D_I="SI",Datos!I17,Datos!I17+Datos!AC17)),IF(D_I="SI",Datos!I17,Datos!I17+Datos!AC17)," - ")</f>
        <v xml:space="preserve"> - </v>
      </c>
      <c r="D17" s="452" t="str">
        <f>IF(ISNUMBER(C17/Datos!BH17),C17/Datos!BH17," - ")</f>
        <v xml:space="preserve"> - </v>
      </c>
      <c r="E17" s="451" t="str">
        <f>IF(ISNUMBER(IF(D_I="SI",Datos!J17,Datos!J17+Datos!AD17)),IF(D_I="SI",Datos!J17,Datos!J17+Datos!AD17)," - ")</f>
        <v xml:space="preserve"> - </v>
      </c>
      <c r="F17" s="452" t="str">
        <f>IF(ISNUMBER(E17/B17),E17/B17," - ")</f>
        <v xml:space="preserve"> - </v>
      </c>
      <c r="G17" s="451" t="str">
        <f>IF(ISNUMBER(IF(D_I="SI",Datos!K17,Datos!K17+Datos!AE17)),IF(D_I="SI",Datos!K17,Datos!K17+Datos!AE17)," - ")</f>
        <v xml:space="preserve"> - </v>
      </c>
      <c r="H17" s="452" t="str">
        <f>IF(ISNUMBER(G17/B17),G17/B17," - ")</f>
        <v xml:space="preserve"> - </v>
      </c>
      <c r="I17" s="451" t="str">
        <f>IF(ISNUMBER(IF(D_I="SI",Datos!L17,Datos!L17+Datos!AF17)),IF(D_I="SI",Datos!L17,Datos!L17+Datos!AF17)," - ")</f>
        <v xml:space="preserve"> - </v>
      </c>
      <c r="J17" s="452" t="str">
        <f>IF(ISNUMBER(I17/B17),I17/B17," - ")</f>
        <v xml:space="preserve"> - </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166</v>
      </c>
      <c r="D18" s="452">
        <f>IF(ISNUMBER(C18/Datos!BH18),C18/Datos!BH18," - ")</f>
        <v>166</v>
      </c>
      <c r="E18" s="451">
        <f>IF(ISNUMBER(IF(D_I="SI",Datos!J18,Datos!J18+Datos!AD18)),IF(D_I="SI",Datos!J18,Datos!J18+Datos!AD18)," - ")</f>
        <v>1606</v>
      </c>
      <c r="F18" s="452">
        <f>IF(ISNUMBER(E18/B18),E18/B18," - ")</f>
        <v>1606</v>
      </c>
      <c r="G18" s="451">
        <f>IF(ISNUMBER(IF(D_I="SI",Datos!K18,Datos!K18+Datos!AE18)),IF(D_I="SI",Datos!K18,Datos!K18+Datos!AE18)," - ")</f>
        <v>1547</v>
      </c>
      <c r="H18" s="452">
        <f>IF(ISNUMBER(G18/B18),G18/B18," - ")</f>
        <v>1547</v>
      </c>
      <c r="I18" s="451">
        <f>IF(ISNUMBER(IF(D_I="SI",Datos!L18,Datos!L18+Datos!AF18)),IF(D_I="SI",Datos!L18,Datos!L18+Datos!AF18)," - ")</f>
        <v>225</v>
      </c>
      <c r="J18" s="452">
        <f>IF(ISNUMBER(I18/B18),I18/B18," - ")</f>
        <v>225</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5</v>
      </c>
      <c r="C23" s="1146">
        <f>SUBTOTAL(9,C15:C22)</f>
        <v>4756</v>
      </c>
      <c r="D23" s="1147" t="str">
        <f>IF(ISNUMBER(C23/Datos!BI23),C23/Datos!BI23," - ")</f>
        <v xml:space="preserve"> - </v>
      </c>
      <c r="E23" s="1146">
        <f>SUBTOTAL(9,E15:E22)</f>
        <v>17972</v>
      </c>
      <c r="F23" s="1147">
        <f>IF(ISNUMBER(E23/B23),E23/B23," - ")</f>
        <v>3594.4</v>
      </c>
      <c r="G23" s="1146">
        <f>SUBTOTAL(9,G15:G22)</f>
        <v>17389</v>
      </c>
      <c r="H23" s="1147">
        <f>IF(ISNUMBER(G23/B23),G23/B23," - ")</f>
        <v>3477.8</v>
      </c>
      <c r="I23" s="1146">
        <f>SUBTOTAL(9,I15:I22)</f>
        <v>5501</v>
      </c>
      <c r="J23" s="1147">
        <f>IF(ISNUMBER(I23/B23),I23/B23," - ")</f>
        <v>1100.2</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14</v>
      </c>
      <c r="C31" s="1084">
        <f>SUBTOTAL(9,C9:C30)</f>
        <v>12380</v>
      </c>
      <c r="D31" s="1085" t="str">
        <f>IF(ISNUMBER(C31/Datos!BI31),C31/Datos!BI31," - ")</f>
        <v xml:space="preserve"> - </v>
      </c>
      <c r="E31" s="1084">
        <f>SUBTOTAL(9,E9:E30)</f>
        <v>34603</v>
      </c>
      <c r="F31" s="1085">
        <f>IF(ISNUMBER(E31/B31),E31/B31," - ")</f>
        <v>2471.6428571428573</v>
      </c>
      <c r="G31" s="1084">
        <f>SUBTOTAL(9,G9:G30)</f>
        <v>32872</v>
      </c>
      <c r="H31" s="1085">
        <f>IF(ISNUMBER(G31/B31),G31/B31," - ")</f>
        <v>2348</v>
      </c>
      <c r="I31" s="1084">
        <f>SUBTOTAL(9,I9:I30)</f>
        <v>13479</v>
      </c>
      <c r="J31" s="1085">
        <f>IF(ISNUMBER(I31/B31),I31/B31," - ")</f>
        <v>962.78571428571433</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14 abr. 2023</v>
      </c>
    </row>
    <row r="39" spans="1:2">
      <c r="A39" s="462"/>
    </row>
  </sheetData>
  <sheetProtection algorithmName="SHA-512" hashValue="hpE1U2WOJKs/PhbX5mTljcUVxCdezogiassE3KaPIPbe94asqe32sBG3KH3n1eVKchMaPHcWd8OnmPakDhvDvw==" saltValue="mxwFcA1D/0AREMoyBNjS5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CATALUÑA</v>
      </c>
      <c r="F1" s="856"/>
      <c r="W1"/>
      <c r="X1"/>
      <c r="BE1" s="856"/>
    </row>
    <row r="2" spans="1:65" ht="16.5" customHeight="1">
      <c r="C2" s="567" t="str">
        <f>Criterios!A10 &amp;"  "&amp;Criterios!B10 &amp; "  " &amp; IF(NOT(ISBLANK(Criterios!A11)),Criterios!A11 &amp;"  "&amp;Criterios!B11,"")</f>
        <v>Provincias  LLEIDA  Resumenes por Partidos Judiciales  LLEIDA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68" t="s">
        <v>461</v>
      </c>
      <c r="B5" s="297"/>
      <c r="C5" s="1668" t="str">
        <f>"Año:  " &amp;Criterios!B$5 &amp; "          Trimestre   " &amp;Criterios!D$5 &amp; " al " &amp;Criterios!D$6</f>
        <v>Año:  2022          Trimestre   1 al 4</v>
      </c>
      <c r="D5" s="1885" t="s">
        <v>542</v>
      </c>
      <c r="E5" s="1885" t="s">
        <v>752</v>
      </c>
      <c r="F5" s="1914" t="s">
        <v>523</v>
      </c>
      <c r="G5" s="1885" t="s">
        <v>173</v>
      </c>
      <c r="H5" s="1885" t="s">
        <v>901</v>
      </c>
      <c r="I5" s="1885" t="s">
        <v>902</v>
      </c>
      <c r="J5" s="1885" t="s">
        <v>905</v>
      </c>
      <c r="K5" s="1885" t="s">
        <v>906</v>
      </c>
      <c r="L5" s="1885" t="s">
        <v>783</v>
      </c>
      <c r="M5" s="1885" t="s">
        <v>927</v>
      </c>
      <c r="N5" s="1885" t="s">
        <v>907</v>
      </c>
      <c r="O5" s="1885" t="s">
        <v>903</v>
      </c>
      <c r="P5" s="1885" t="s">
        <v>225</v>
      </c>
      <c r="Q5" s="1885" t="s">
        <v>882</v>
      </c>
      <c r="R5" s="1885" t="s">
        <v>928</v>
      </c>
      <c r="S5" s="1885" t="str">
        <f>"Ingreso Computable 2003" &amp; IF(OR(EXACT(LEFT(boletin,2),"04"),EXACT(LEFT(boletin,2),"14"),EXACT(LEFT(boletin,2),"17"))," (Civil + Penal)","")</f>
        <v>Ingreso Computable 2003</v>
      </c>
      <c r="T5" s="1885" t="s">
        <v>904</v>
      </c>
      <c r="U5" s="1920" t="str">
        <f>"% Ingreso Computable 2003" &amp; IF(OR(EXACT(LEFT(boletin,2),"04"),EXACT(LEFT(boletin,2),"14"),EXACT(LEFT(boletin,2),"17"))," (Civil + Penal)","")</f>
        <v>% Ingreso Computable 2003</v>
      </c>
      <c r="V5" s="1920" t="s">
        <v>908</v>
      </c>
      <c r="W5" s="1885" t="s">
        <v>1032</v>
      </c>
      <c r="X5" s="1885" t="s">
        <v>1033</v>
      </c>
      <c r="Y5" s="1888" t="s">
        <v>873</v>
      </c>
      <c r="Z5" s="1944" t="str">
        <f>"RESOLUCION Nº  H/P" &amp; IF(OR(EXACT(LEFT(boletin,2),"04"),EXACT(LEFT(boletin,2),"14"),EXACT(LEFT(boletin,2),"17"))," (Civil + Penal)","")</f>
        <v>RESOLUCION Nº  H/P</v>
      </c>
      <c r="AA5" s="1947" t="str">
        <f>" % S/Iindicador  De  Resolución (Horas punto)" &amp; IF(OR(EXACT(LEFT(boletin,2),"04"),EXACT(LEFT(boletin,2),"14"),EXACT(LEFT(boletin,2),"17"))," (Civil + Penal)","")</f>
        <v xml:space="preserve"> % S/Iindicador  De  Resolución (Horas punto)</v>
      </c>
      <c r="AB5" s="1944" t="s">
        <v>909</v>
      </c>
      <c r="AC5" s="1944" t="s">
        <v>910</v>
      </c>
      <c r="AD5" s="1944" t="s">
        <v>911</v>
      </c>
      <c r="AE5" s="1944" t="s">
        <v>912</v>
      </c>
      <c r="AF5" s="1885" t="s">
        <v>913</v>
      </c>
      <c r="AG5" s="1885" t="s">
        <v>914</v>
      </c>
      <c r="AH5" s="1885" t="s">
        <v>915</v>
      </c>
      <c r="AI5" s="1885" t="s">
        <v>916</v>
      </c>
      <c r="AJ5" s="1885" t="s">
        <v>239</v>
      </c>
      <c r="AK5" s="1897" t="s">
        <v>718</v>
      </c>
      <c r="AL5" s="1897" t="s">
        <v>240</v>
      </c>
      <c r="AM5" s="1885" t="s">
        <v>762</v>
      </c>
      <c r="AN5" s="1885" t="s">
        <v>318</v>
      </c>
      <c r="AO5" s="1885" t="s">
        <v>319</v>
      </c>
      <c r="AP5" s="1885" t="s">
        <v>917</v>
      </c>
      <c r="AQ5" s="1885" t="s">
        <v>918</v>
      </c>
      <c r="AR5" s="1885" t="s">
        <v>919</v>
      </c>
      <c r="AS5" s="1885" t="s">
        <v>920</v>
      </c>
      <c r="AT5" s="1885" t="s">
        <v>921</v>
      </c>
      <c r="AU5" s="1885" t="s">
        <v>922</v>
      </c>
      <c r="AV5" s="1885" t="s">
        <v>923</v>
      </c>
      <c r="AW5" s="1885" t="s">
        <v>924</v>
      </c>
      <c r="AX5" s="1885" t="s">
        <v>1120</v>
      </c>
      <c r="AY5" s="1885" t="s">
        <v>1124</v>
      </c>
      <c r="AZ5" s="1885" t="s">
        <v>925</v>
      </c>
      <c r="BA5" s="1885" t="s">
        <v>926</v>
      </c>
      <c r="BB5" s="1885" t="s">
        <v>717</v>
      </c>
      <c r="BC5" s="1744" t="s">
        <v>933</v>
      </c>
      <c r="BD5" s="1744" t="s">
        <v>934</v>
      </c>
      <c r="BE5" s="1914" t="s">
        <v>935</v>
      </c>
      <c r="BF5" s="1941"/>
      <c r="BG5" s="1942"/>
      <c r="BH5" s="1941"/>
      <c r="BI5" s="1942"/>
      <c r="BJ5" s="1941"/>
      <c r="BK5" s="1942"/>
      <c r="BL5" s="1941"/>
      <c r="BM5" s="1942"/>
    </row>
    <row r="6" spans="1:65" ht="21.75" customHeight="1">
      <c r="A6" s="1936"/>
      <c r="B6" s="880"/>
      <c r="C6" s="1938"/>
      <c r="D6" s="1886"/>
      <c r="E6" s="1886"/>
      <c r="F6" s="1915"/>
      <c r="G6" s="1886"/>
      <c r="H6" s="1886"/>
      <c r="I6" s="1886"/>
      <c r="J6" s="1886"/>
      <c r="K6" s="1886"/>
      <c r="L6" s="1886"/>
      <c r="M6" s="1886"/>
      <c r="N6" s="1886"/>
      <c r="O6" s="1886"/>
      <c r="P6" s="1886"/>
      <c r="Q6" s="1886"/>
      <c r="R6" s="1886"/>
      <c r="S6" s="1886"/>
      <c r="T6" s="1886"/>
      <c r="U6" s="1921"/>
      <c r="V6" s="1921"/>
      <c r="W6" s="1886"/>
      <c r="X6" s="1886"/>
      <c r="Y6" s="1889"/>
      <c r="Z6" s="1945"/>
      <c r="AA6" s="1948"/>
      <c r="AB6" s="1945"/>
      <c r="AC6" s="1945"/>
      <c r="AD6" s="1945"/>
      <c r="AE6" s="1945"/>
      <c r="AF6" s="1886"/>
      <c r="AG6" s="1886"/>
      <c r="AH6" s="1886"/>
      <c r="AI6" s="1886"/>
      <c r="AJ6" s="1886"/>
      <c r="AK6" s="1898"/>
      <c r="AL6" s="1898"/>
      <c r="AM6" s="1886"/>
      <c r="AN6" s="1886"/>
      <c r="AO6" s="1886"/>
      <c r="AP6" s="1886"/>
      <c r="AQ6" s="1886"/>
      <c r="AR6" s="1886"/>
      <c r="AS6" s="1886"/>
      <c r="AT6" s="1886"/>
      <c r="AU6" s="1886"/>
      <c r="AV6" s="1886"/>
      <c r="AW6" s="1886"/>
      <c r="AX6" s="1886"/>
      <c r="AY6" s="1886"/>
      <c r="AZ6" s="1886"/>
      <c r="BA6" s="1886"/>
      <c r="BB6" s="1886"/>
      <c r="BC6" s="1745"/>
      <c r="BD6" s="1745"/>
      <c r="BE6" s="1915"/>
      <c r="BF6" s="1939"/>
      <c r="BG6" s="1939"/>
      <c r="BH6" s="1939"/>
      <c r="BI6" s="1939"/>
      <c r="BJ6" s="1939"/>
      <c r="BK6" s="1939"/>
      <c r="BL6" s="1939"/>
      <c r="BM6" s="1939"/>
    </row>
    <row r="7" spans="1:65" ht="38.25" customHeight="1" thickBot="1">
      <c r="A7" s="1937"/>
      <c r="B7" s="881"/>
      <c r="C7" s="882" t="str">
        <f>Datos!A7</f>
        <v>COMPETENCIAS</v>
      </c>
      <c r="D7" s="1887"/>
      <c r="E7" s="1887"/>
      <c r="F7" s="1916"/>
      <c r="G7" s="1887"/>
      <c r="H7" s="1887"/>
      <c r="I7" s="1887"/>
      <c r="J7" s="1887"/>
      <c r="K7" s="1887"/>
      <c r="L7" s="1887"/>
      <c r="M7" s="1887"/>
      <c r="N7" s="1887"/>
      <c r="O7" s="1887"/>
      <c r="P7" s="1887"/>
      <c r="Q7" s="1887"/>
      <c r="R7" s="1887"/>
      <c r="S7" s="1887"/>
      <c r="T7" s="1887"/>
      <c r="U7" s="1922"/>
      <c r="V7" s="1922"/>
      <c r="W7" s="1887"/>
      <c r="X7" s="1887"/>
      <c r="Y7" s="1890"/>
      <c r="Z7" s="1946"/>
      <c r="AA7" s="1949"/>
      <c r="AB7" s="1946"/>
      <c r="AC7" s="1946"/>
      <c r="AD7" s="1946"/>
      <c r="AE7" s="1946"/>
      <c r="AF7" s="1887"/>
      <c r="AG7" s="1887"/>
      <c r="AH7" s="1887"/>
      <c r="AI7" s="1887"/>
      <c r="AJ7" s="1887"/>
      <c r="AK7" s="1899"/>
      <c r="AL7" s="1899"/>
      <c r="AM7" s="1887"/>
      <c r="AN7" s="1887"/>
      <c r="AO7" s="1887"/>
      <c r="AP7" s="1887"/>
      <c r="AQ7" s="1887"/>
      <c r="AR7" s="1887"/>
      <c r="AS7" s="1887"/>
      <c r="AT7" s="1887"/>
      <c r="AU7" s="1887"/>
      <c r="AV7" s="1887"/>
      <c r="AW7" s="1887"/>
      <c r="AX7" s="1887"/>
      <c r="AY7" s="1887"/>
      <c r="AZ7" s="1887"/>
      <c r="BA7" s="1887"/>
      <c r="BB7" s="1887"/>
      <c r="BC7" s="1943"/>
      <c r="BD7" s="1943"/>
      <c r="BE7" s="1916"/>
      <c r="BF7" s="1940"/>
      <c r="BG7" s="1940"/>
      <c r="BH7" s="1940"/>
      <c r="BI7" s="1940"/>
      <c r="BJ7" s="1940"/>
      <c r="BK7" s="1940"/>
      <c r="BL7" s="1940"/>
      <c r="BM7" s="1940"/>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7</v>
      </c>
      <c r="B9" s="745" t="s">
        <v>317</v>
      </c>
      <c r="C9" s="765" t="str">
        <f>Datos!A9</f>
        <v xml:space="preserve">Jdos. 1ª Instancia   </v>
      </c>
      <c r="D9" s="593"/>
      <c r="E9" s="904">
        <f>IF(ISNUMBER(Datos!AQ9),Datos!AQ9," - ")</f>
        <v>7</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317</v>
      </c>
      <c r="C10" s="747" t="str">
        <f>Datos!A10</f>
        <v>Jdos. Violencia contra la mujer</v>
      </c>
      <c r="D10" s="601"/>
      <c r="E10" s="904">
        <f>IF(ISNUMBER(Datos!AQ10),Datos!AQ10," - ")</f>
        <v>1</v>
      </c>
      <c r="F10" s="905">
        <f>IF(ISNUMBER(Datos!L10+Datos!K10-Datos!J10),Datos!L10+Datos!K10-Datos!J10," - ")</f>
        <v>128</v>
      </c>
      <c r="G10" s="906">
        <f>IF(ISNUMBER(Datos!I10),Datos!I10," - ")</f>
        <v>128</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34</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f>IF(ISNUMBER(DatosP!AS18/E10),DatosP!AS18/E10," - ")</f>
        <v>0</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197</v>
      </c>
      <c r="AC10" s="905" t="str">
        <f>IF(ISNUMBER(IF(D_I="SI",DatosP!K18,DatosP!K18+DatosP!AE18)),IF(D_I="SI",DatosP!K18,DatosP!K18+DatosP!AE18)," - ")</f>
        <v xml:space="preserve"> - </v>
      </c>
      <c r="AD10" s="907"/>
      <c r="AE10" s="907"/>
      <c r="AF10" s="910">
        <f>IF(ISNUMBER(Datos!L10),Datos!L10,"-")</f>
        <v>159</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71</v>
      </c>
      <c r="AM10" s="914">
        <f>IF(ISNUMBER(Datos!N10+DatosP!N18),Datos!N10+DatosP!N18," - ")</f>
        <v>93</v>
      </c>
      <c r="AN10" s="914">
        <f>IF(ISNUMBER(Datos!BW10+DatosP!BW18),Datos!BW10+DatosP!BW18," - ")</f>
        <v>0</v>
      </c>
      <c r="AO10" s="915">
        <f>IF(ISNUMBER(Datos!BX10+DatosP!BX18),Datos!BX10+DatosP!BX18," - ")</f>
        <v>0</v>
      </c>
      <c r="AP10" s="917">
        <f>IF(ISNUMBER(((Datos!L10/Datos!K10)*11)/factor_trimestre),((Datos!L10/Datos!K10)*11)/factor_trimestre," - ")</f>
        <v>8.8781725888324878</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2</v>
      </c>
      <c r="B11" s="746" t="s">
        <v>317</v>
      </c>
      <c r="C11" s="747" t="str">
        <f>Datos!A11</f>
        <v xml:space="preserve">Jdos. Familia                                   </v>
      </c>
      <c r="D11" s="601"/>
      <c r="E11" s="904">
        <f>IF(ISNUMBER(Datos!AQ11),Datos!AQ11," - ")</f>
        <v>2</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0</v>
      </c>
      <c r="B12" s="746" t="s">
        <v>317</v>
      </c>
      <c r="C12" s="747" t="str">
        <f>Datos!A12</f>
        <v xml:space="preserve">Jdos. 1ª Instª. e Instr.                        </v>
      </c>
      <c r="D12" s="601"/>
      <c r="E12" s="904">
        <f>IF(ISNUMBER(Datos!AQ12),Datos!AQ12," - ")</f>
        <v>0</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0</v>
      </c>
      <c r="O12" s="907">
        <f>IF(ISNUMBER(DatosP!P17),DatosP!P17,0)</f>
        <v>0</v>
      </c>
      <c r="P12" s="907" t="str">
        <f>IF(ISNUMBER(DatosP!DE17),DatosP!DE17," - ")</f>
        <v xml:space="preserve"> - </v>
      </c>
      <c r="Q12" s="908"/>
      <c r="R12" s="908"/>
      <c r="S12" s="907" t="str">
        <f>IF(ISNUMBER(Datos!AS12*(2500/380)+DatosP!AS17),Datos!AS12*(2500/380)+DatosP!AS17," - ")</f>
        <v xml:space="preserve"> - </v>
      </c>
      <c r="T12" s="907" t="str">
        <f>IF(ISNUMBER(DatosP!AS17/E12),DatosP!AS17/E12," - ")</f>
        <v xml:space="preserve"> - </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18</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260</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0</v>
      </c>
      <c r="AM12" s="914">
        <f>IF(ISNUMBER(Datos!N12+DatosP!N17),Datos!N12+DatosP!N17," - ")</f>
        <v>0</v>
      </c>
      <c r="AN12" s="914">
        <f>IF(ISNUMBER(Datos!BW12+DatosP!BW17),Datos!BW12+DatosP!BW17," - ")</f>
        <v>0</v>
      </c>
      <c r="AO12" s="915">
        <f>IF(ISNUMBER(Datos!BX12+DatosP!BX17),Datos!BX12+DatosP!BX17," - ")</f>
        <v>0</v>
      </c>
      <c r="AP12" s="917" t="str">
        <f>IF(ISNUMBER(((IF(J_V="SI",Datos!L12/Datos!K12,(Datos!L12+Datos!AB12)/(Datos!K12+Datos!AA12)))*11)/factor_trimestre),((IF(J_V="SI",Datos!L12/Datos!K12,(Datos!L12+Datos!AB12)/(Datos!K12+Datos!AA12)))*11)/factor_trimestre," - ")</f>
        <v xml:space="preserve"> - </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-6.4748201438848921E-2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317</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10</v>
      </c>
      <c r="F14" s="1256">
        <f t="shared" si="0"/>
        <v>128</v>
      </c>
      <c r="G14" s="1256">
        <f t="shared" si="0"/>
        <v>128</v>
      </c>
      <c r="H14" s="1256">
        <f t="shared" si="0"/>
        <v>0</v>
      </c>
      <c r="I14" s="1258">
        <f t="shared" si="0"/>
        <v>0</v>
      </c>
      <c r="J14" s="1257">
        <f t="shared" si="0"/>
        <v>0</v>
      </c>
      <c r="K14" s="1257">
        <f t="shared" si="0"/>
        <v>0</v>
      </c>
      <c r="L14" s="1259">
        <f t="shared" si="0"/>
        <v>0</v>
      </c>
      <c r="M14" s="1259">
        <f t="shared" si="0"/>
        <v>0</v>
      </c>
      <c r="N14" s="1257">
        <f t="shared" si="0"/>
        <v>34</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197</v>
      </c>
      <c r="AC14" s="1257">
        <f t="shared" si="1"/>
        <v>0</v>
      </c>
      <c r="AD14" s="1257">
        <f t="shared" si="1"/>
        <v>18</v>
      </c>
      <c r="AE14" s="1257">
        <f t="shared" si="1"/>
        <v>0</v>
      </c>
      <c r="AF14" s="1257">
        <f t="shared" si="1"/>
        <v>159</v>
      </c>
      <c r="AG14" s="1257">
        <f t="shared" si="1"/>
        <v>0</v>
      </c>
      <c r="AH14" s="1257">
        <f t="shared" si="1"/>
        <v>260</v>
      </c>
      <c r="AI14" s="1257">
        <f t="shared" si="1"/>
        <v>0</v>
      </c>
      <c r="AJ14" s="1257">
        <f t="shared" si="1"/>
        <v>0</v>
      </c>
      <c r="AK14" s="1257">
        <f t="shared" si="1"/>
        <v>0</v>
      </c>
      <c r="AL14" s="1257">
        <f t="shared" si="1"/>
        <v>71</v>
      </c>
      <c r="AM14" s="1257">
        <f t="shared" si="1"/>
        <v>93</v>
      </c>
      <c r="AN14" s="1257">
        <f t="shared" si="1"/>
        <v>0</v>
      </c>
      <c r="AO14" s="1257">
        <f t="shared" si="1"/>
        <v>0</v>
      </c>
      <c r="AP14" s="1262">
        <f>IF(ISNUMBER(((Datos!L14/Datos!K14)*11)/factor_trimestre),((Datos!L14/Datos!K14)*11)/factor_trimestre," - ")</f>
        <v>6.0523537803138376</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-1.5390625</v>
      </c>
      <c r="AU14" s="1257" t="str">
        <f>IF(ISNUMBER((DatosP!#REF!-DatosP!#REF!+DatosP!#REF!)/(DatosP!#REF!+DatosP!#REF!-DatosP!#REF!-DatosP!#REF!)),(DatosP!#REF!-DatosP!#REF!+DatosP!#REF!)/(DatosP!#REF!+DatosP!#REF!-DatosP!#REF!-DatosP!#REF!)," - ")</f>
        <v xml:space="preserve"> - </v>
      </c>
      <c r="AV14" s="1263">
        <f>SUBTOTAL(9,AV9:AV13)</f>
        <v>-6.4748201438848921E-2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4</v>
      </c>
      <c r="B16" s="737" t="s">
        <v>507</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0</v>
      </c>
      <c r="B17" s="746" t="s">
        <v>507</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507</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507</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507</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507</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507</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3.4798435792742541</v>
      </c>
      <c r="AQ23" s="1262">
        <f>IF(ISNUMBER(((Datos!M23/Datos!L23)*11)/factor_trimestre),((Datos!M23/Datos!L23)*11)/factor_trimestre," - ")</f>
        <v>5.0030903472095982</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0.15082644628099173</v>
      </c>
      <c r="AW23" s="1265">
        <f>IF(ISNUMBER((Datos!Q23-Datos!R23)/(Datos!S23-Datos!Q23+Datos!R23)),(Datos!Q23-Datos!R23)/(Datos!S23-Datos!Q23+Datos!R23)," - ")</f>
        <v>-7.7588117933939261E-3</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768</v>
      </c>
      <c r="B25" s="600" t="s">
        <v>508</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509</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509</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10</v>
      </c>
      <c r="F31" s="1278">
        <f t="shared" si="8"/>
        <v>128</v>
      </c>
      <c r="G31" s="1278">
        <f t="shared" si="8"/>
        <v>128</v>
      </c>
      <c r="H31" s="1278">
        <f t="shared" si="8"/>
        <v>0</v>
      </c>
      <c r="I31" s="1279">
        <f t="shared" si="8"/>
        <v>0</v>
      </c>
      <c r="J31" s="1280">
        <f t="shared" si="8"/>
        <v>0</v>
      </c>
      <c r="K31" s="1280">
        <f t="shared" si="8"/>
        <v>0</v>
      </c>
      <c r="L31" s="1280">
        <f t="shared" si="8"/>
        <v>0</v>
      </c>
      <c r="M31" s="1280">
        <f t="shared" si="8"/>
        <v>0</v>
      </c>
      <c r="N31" s="1279">
        <f t="shared" si="8"/>
        <v>34</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197</v>
      </c>
      <c r="AC31" s="1284">
        <f t="shared" si="9"/>
        <v>0</v>
      </c>
      <c r="AD31" s="1284">
        <f t="shared" si="9"/>
        <v>18</v>
      </c>
      <c r="AE31" s="1284">
        <f t="shared" si="9"/>
        <v>0</v>
      </c>
      <c r="AF31" s="1285">
        <f t="shared" si="9"/>
        <v>159</v>
      </c>
      <c r="AG31" s="1285">
        <f t="shared" si="9"/>
        <v>0</v>
      </c>
      <c r="AH31" s="1285">
        <f t="shared" si="9"/>
        <v>260</v>
      </c>
      <c r="AI31" s="1285">
        <f t="shared" si="9"/>
        <v>0</v>
      </c>
      <c r="AJ31" s="1286">
        <f t="shared" si="9"/>
        <v>0</v>
      </c>
      <c r="AK31" s="1286">
        <f t="shared" si="9"/>
        <v>0</v>
      </c>
      <c r="AL31" s="1278">
        <f t="shared" si="9"/>
        <v>71</v>
      </c>
      <c r="AM31" s="1278">
        <f t="shared" si="9"/>
        <v>93</v>
      </c>
      <c r="AN31" s="1278">
        <f t="shared" si="9"/>
        <v>0</v>
      </c>
      <c r="AO31" s="1278">
        <f t="shared" si="9"/>
        <v>0</v>
      </c>
      <c r="AP31" s="1278">
        <f>IF(ISNUMBER(((Datos!L31/Datos!K31)*11)/factor_trimestre),((Datos!L31/Datos!K31)*11)/factor_trimestre," - ")</f>
        <v>4.6281320640580725</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-1.5390625</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-8.413137546995815E-2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337</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51.2</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338</v>
      </c>
      <c r="D33" s="1004"/>
      <c r="E33" s="1005">
        <f>IF(ISNUMBER(STDEV(E8:E30)),STDEV(E8:E30),"-")</f>
        <v>3.7006005518624194</v>
      </c>
      <c r="F33" s="1006">
        <f>IF(ISNUMBER(STDEV(F8:F30)),STDEV(F8:F30),"-")</f>
        <v>70.108487360661258</v>
      </c>
      <c r="G33" s="1007">
        <f>IF(ISNUMBER(STDEV(G8:G30)),STDEV(G8:G30),"-")</f>
        <v>70.108487360661258</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107.90134382851772</v>
      </c>
      <c r="AC33" s="1008">
        <f>IF(ISNUMBER(STDEV(AC8:AC30)),STDEV(AC8:AC30),"-")</f>
        <v>0</v>
      </c>
      <c r="AD33" s="1011"/>
      <c r="AE33" s="1011"/>
      <c r="AF33" s="1011"/>
      <c r="AG33" s="1011"/>
      <c r="AH33" s="1011"/>
      <c r="AI33" s="1011"/>
      <c r="AJ33" s="1012">
        <f>IF(ISNUMBER(STDEV(AJ8:AJ30)),STDEV(AJ8:AJ30),"-")</f>
        <v>0</v>
      </c>
      <c r="AK33" s="1014"/>
      <c r="AL33" s="1006">
        <f>IF(ISNUMBER(STDEV(AL8:AL30)),STDEV(AL8:AL30),"-")</f>
        <v>36.664242344096884</v>
      </c>
      <c r="AM33" s="1006"/>
      <c r="AN33" s="1006">
        <f>IF(ISNUMBER(STDEV(AN8:AN30)),STDEV(AN8:AN30),"-")</f>
        <v>0</v>
      </c>
      <c r="AO33" s="1012">
        <f>IF(ISNUMBER(STDEV(AO8:AO30)),STDEV(AO8:AO30),"-")</f>
        <v>0</v>
      </c>
      <c r="AP33" s="1065">
        <f>IF(ISNUMBER(STDEV(AP8:AP30)),STDEV(AP8:AP30),"-")</f>
        <v>2.7001548340934209</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542</v>
      </c>
      <c r="AU34" s="1022" t="s">
        <v>542</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335</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336</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14 abr. 2023</v>
      </c>
      <c r="W42"/>
      <c r="X42"/>
    </row>
    <row r="44" spans="1:57">
      <c r="C44" s="1048"/>
      <c r="D44" s="1049"/>
      <c r="W44"/>
      <c r="X44"/>
    </row>
  </sheetData>
  <sheetProtection algorithmName="SHA-512" hashValue="Bt0apzKXuSxN9wWnwqagIZRX7O231CBTKG/RwuOGMSZaOtEDhcvjgzXZY5lxFKN6KsmoabvoTYmjCt0ahmxM3Q==" saltValue="nrYh3mqBSVDWT+Fx3EhcOQ==" spinCount="100000" sheet="1" objects="1" scenarios="1"/>
  <mergeCells count="68">
    <mergeCell ref="G5:G7"/>
    <mergeCell ref="AC5:AC7"/>
    <mergeCell ref="J5:J7"/>
    <mergeCell ref="A5:A7"/>
    <mergeCell ref="C5:C6"/>
    <mergeCell ref="D5:D7"/>
    <mergeCell ref="E5:E7"/>
    <mergeCell ref="F5:F7"/>
    <mergeCell ref="P5:P7"/>
    <mergeCell ref="Q5:Q7"/>
    <mergeCell ref="R5:R7"/>
    <mergeCell ref="S5:S7"/>
    <mergeCell ref="U5:U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AH5:AH7"/>
    <mergeCell ref="AI5:AI7"/>
    <mergeCell ref="AE5:AE7"/>
    <mergeCell ref="AF5:AF7"/>
    <mergeCell ref="AG5:AG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BH6:BH7"/>
    <mergeCell ref="BI6:BI7"/>
    <mergeCell ref="AR5:AR7"/>
    <mergeCell ref="AT5:AT7"/>
    <mergeCell ref="AV5:AV7"/>
    <mergeCell ref="AS5:AS7"/>
    <mergeCell ref="AU5:AU7"/>
    <mergeCell ref="AW5:AW7"/>
    <mergeCell ref="BA5:BA7"/>
    <mergeCell ref="AX5:AX7"/>
    <mergeCell ref="AN5:AN7"/>
    <mergeCell ref="AO5:AO7"/>
    <mergeCell ref="AP5:AP7"/>
    <mergeCell ref="AQ5:AQ7"/>
    <mergeCell ref="AJ5:AJ7"/>
    <mergeCell ref="AL5:AL7"/>
    <mergeCell ref="AM5:AM7"/>
    <mergeCell ref="AK5:AK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CATALUÑA</v>
      </c>
      <c r="C2" s="436"/>
      <c r="E2" s="436"/>
      <c r="F2" s="436"/>
      <c r="G2" s="436"/>
      <c r="H2" s="436"/>
    </row>
    <row r="3" spans="1:15" ht="39">
      <c r="A3" s="463" t="s">
        <v>276</v>
      </c>
      <c r="B3" s="439" t="str">
        <f>Criterios!A10 &amp;"  "&amp;Criterios!B10</f>
        <v>Provincias  LLEIDA</v>
      </c>
      <c r="C3" s="463"/>
      <c r="F3" s="436"/>
      <c r="G3" s="436"/>
      <c r="H3" s="436"/>
    </row>
    <row r="4" spans="1:15" ht="13.5" thickBot="1">
      <c r="A4" s="436"/>
      <c r="B4" s="439" t="str">
        <f>Criterios!A11 &amp;"  "&amp;Criterios!B11</f>
        <v>Resumenes por Partidos Judiciales  LLEIDA</v>
      </c>
      <c r="C4" s="436"/>
      <c r="E4" s="436"/>
      <c r="F4" s="436"/>
      <c r="G4" s="436"/>
      <c r="H4" s="436"/>
    </row>
    <row r="5" spans="1:15" ht="15.75" customHeight="1">
      <c r="A5" s="1591" t="str">
        <f>"Año:  " &amp;Criterios!B5</f>
        <v>Año:  2022</v>
      </c>
      <c r="B5" s="1581" t="s">
        <v>263</v>
      </c>
      <c r="C5" s="1594"/>
      <c r="D5" s="1581" t="s">
        <v>280</v>
      </c>
      <c r="E5" s="1599"/>
      <c r="F5" s="1594"/>
      <c r="G5" s="1581" t="s">
        <v>265</v>
      </c>
      <c r="H5" s="1582"/>
      <c r="I5" s="1581" t="s">
        <v>266</v>
      </c>
      <c r="J5" s="1582"/>
      <c r="K5" s="1581" t="s">
        <v>267</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264</v>
      </c>
      <c r="D7" s="464" t="s">
        <v>151</v>
      </c>
      <c r="E7" s="464" t="s">
        <v>264</v>
      </c>
      <c r="F7" s="443" t="s">
        <v>11</v>
      </c>
      <c r="G7" s="464" t="s">
        <v>151</v>
      </c>
      <c r="H7" s="464" t="s">
        <v>268</v>
      </c>
      <c r="I7" s="464" t="s">
        <v>151</v>
      </c>
      <c r="J7" s="464" t="s">
        <v>268</v>
      </c>
      <c r="K7" s="464" t="s">
        <v>151</v>
      </c>
      <c r="L7" s="465" t="s">
        <v>268</v>
      </c>
      <c r="M7" s="465" t="s">
        <v>277</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7</v>
      </c>
      <c r="D9" s="451">
        <f>Datos!BK9</f>
        <v>0</v>
      </c>
      <c r="E9" s="451">
        <f>Datos!AQ9</f>
        <v>7</v>
      </c>
      <c r="F9" s="452">
        <f>IF(ISNUMBER(E9/Datos!BH9),E9/Datos!BH9," - ")</f>
        <v>1</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1</v>
      </c>
      <c r="D10" s="451">
        <f>Datos!BK10</f>
        <v>0</v>
      </c>
      <c r="E10" s="451">
        <f>Datos!AQ10</f>
        <v>1</v>
      </c>
      <c r="F10" s="452">
        <f>IF(ISNUMBER(E10/Datos!BH10),E10/Datos!BH10," - ")</f>
        <v>1</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2</v>
      </c>
      <c r="D11" s="451">
        <f>Datos!BK11</f>
        <v>0</v>
      </c>
      <c r="E11" s="451">
        <f>Datos!AQ11</f>
        <v>2</v>
      </c>
      <c r="F11" s="452">
        <f>IF(ISNUMBER(E11/Datos!BH11),E11/Datos!BH11," - ")</f>
        <v>1</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0</v>
      </c>
      <c r="D12" s="451">
        <f>Datos!BK12</f>
        <v>0</v>
      </c>
      <c r="E12" s="451">
        <f>Datos!AQ12</f>
        <v>0</v>
      </c>
      <c r="F12" s="452" t="str">
        <f>IF(ISNUMBER(E12/Datos!BH12),E12/Datos!BH12," - ")</f>
        <v xml:space="preserve"> - </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4</v>
      </c>
      <c r="D16" s="451">
        <f>Datos!BK16</f>
        <v>0</v>
      </c>
      <c r="E16" s="451">
        <f>Datos!AQ16</f>
        <v>4</v>
      </c>
      <c r="F16" s="452">
        <f>IF(ISNUMBER(E16/Datos!BH16),E16/Datos!BH16," - ")</f>
        <v>1</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0</v>
      </c>
      <c r="D17" s="451">
        <f>Datos!BK17</f>
        <v>0</v>
      </c>
      <c r="E17" s="451">
        <f>Datos!AQ17</f>
        <v>0</v>
      </c>
      <c r="F17" s="452" t="str">
        <f>IF(ISNUMBER(E17/Datos!BH17),E17/Datos!BH17," - ")</f>
        <v xml:space="preserve"> - </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1</v>
      </c>
      <c r="D18" s="451">
        <f>Datos!BK18</f>
        <v>0</v>
      </c>
      <c r="E18" s="451">
        <f>Datos!AQ18</f>
        <v>1</v>
      </c>
      <c r="F18" s="452">
        <f>IF(ISNUMBER(E18/Datos!BH18),E18/Datos!BH18," - ")</f>
        <v>1</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14 abr. 2023</v>
      </c>
      <c r="B35" s="439"/>
      <c r="C35" s="439"/>
    </row>
    <row r="39" spans="1:4">
      <c r="A39" s="462"/>
      <c r="B39" s="462"/>
      <c r="C39" s="462"/>
    </row>
  </sheetData>
  <sheetProtection algorithmName="SHA-512" hashValue="hzrU632y4hIpIrTaV4V9BhkLov4RQQKiY6giu4gOZmhgV3kiC5DZnNt56D8g4IWUOvJ0obcgSlGbl6BXSBkYLA==" saltValue="byGssHeEPTx0rPp3F8vBp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CATALUÑA</v>
      </c>
      <c r="C2" s="475"/>
      <c r="D2" s="418"/>
    </row>
    <row r="3" spans="1:9" ht="19.5">
      <c r="A3" s="476" t="s">
        <v>16</v>
      </c>
      <c r="B3" s="477" t="str">
        <f>Criterios!A10 &amp;"  "&amp;Criterios!B10</f>
        <v>Provincias  LLEIDA</v>
      </c>
      <c r="C3" s="475"/>
      <c r="D3" s="476"/>
    </row>
    <row r="4" spans="1:9" ht="13.5" thickBot="1">
      <c r="B4" s="477" t="str">
        <f>Criterios!A11 &amp;"  "&amp;Criterios!B11</f>
        <v>Resumenes por Partidos Judiciales  LLEIDA</v>
      </c>
    </row>
    <row r="5" spans="1:9" ht="15.75" customHeight="1">
      <c r="A5" s="1591" t="str">
        <f>"Año:  " &amp;Criterios!B5 &amp; "                  Trimestre   " &amp;Criterios!D5 &amp; " al " &amp;Criterios!D6</f>
        <v>Año:  2022                  Trimestre   1 al 4</v>
      </c>
      <c r="B5" s="1603" t="s">
        <v>160</v>
      </c>
      <c r="C5" s="1605" t="s">
        <v>167</v>
      </c>
      <c r="D5" s="1581" t="s">
        <v>119</v>
      </c>
      <c r="E5" s="1582"/>
      <c r="F5" s="1581" t="s">
        <v>120</v>
      </c>
      <c r="G5" s="1586"/>
      <c r="H5" s="1581" t="s">
        <v>295</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296</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7</v>
      </c>
      <c r="C9" s="458">
        <f>Datos!AQ9</f>
        <v>7</v>
      </c>
      <c r="D9" s="451">
        <f>IF(ISNUMBER(Datos!M9),Datos!M9," - ")</f>
        <v>2986</v>
      </c>
      <c r="E9" s="452">
        <f t="shared" ref="E9:E14" si="0">IF(ISNUMBER(D9/B9),D9/B9," - ")</f>
        <v>426.57142857142856</v>
      </c>
      <c r="F9" s="451">
        <f>IF(ISNUMBER(Datos!N9),Datos!N9," - ")</f>
        <v>5189</v>
      </c>
      <c r="G9" s="452">
        <f t="shared" ref="G9:G14" si="1">IF(ISNUMBER(F9/B9),F9/B9," - ")</f>
        <v>741.28571428571433</v>
      </c>
      <c r="H9" s="451">
        <f>IF(ISNUMBER(Datos!O9),Datos!O9," - ")</f>
        <v>6169</v>
      </c>
      <c r="I9" s="452">
        <f>IF(ISNUMBER(H9/B9),H9/B9," - ")</f>
        <v>881.28571428571433</v>
      </c>
    </row>
    <row r="10" spans="1:9">
      <c r="A10" s="450" t="str">
        <f>Datos!A10</f>
        <v>Jdos. Violencia contra la mujer</v>
      </c>
      <c r="B10" s="480">
        <f>Datos!AO10</f>
        <v>1</v>
      </c>
      <c r="C10" s="458">
        <f>Datos!AQ10</f>
        <v>1</v>
      </c>
      <c r="D10" s="451">
        <f>IF(ISNUMBER(Datos!M10),Datos!M10," - ")</f>
        <v>71</v>
      </c>
      <c r="E10" s="452">
        <f>IF(ISNUMBER(D10/B10),D10/B10," - ")</f>
        <v>71</v>
      </c>
      <c r="F10" s="451">
        <f>IF(ISNUMBER(Datos!N10),Datos!N10," - ")</f>
        <v>93</v>
      </c>
      <c r="G10" s="452">
        <f>IF(ISNUMBER(F10/B10),F10/B10," - ")</f>
        <v>93</v>
      </c>
      <c r="H10" s="451">
        <f>IF(ISNUMBER(Datos!O10),Datos!O10," - ")</f>
        <v>42</v>
      </c>
      <c r="I10" s="452">
        <f t="shared" ref="I10:I13" si="2">IF(ISNUMBER(H10/B10),H10/B10," - ")</f>
        <v>42</v>
      </c>
    </row>
    <row r="11" spans="1:9">
      <c r="A11" s="450" t="str">
        <f>Datos!A11</f>
        <v xml:space="preserve">Jdos. Familia                                   </v>
      </c>
      <c r="B11" s="480">
        <f>Datos!AO11</f>
        <v>2</v>
      </c>
      <c r="C11" s="458">
        <f>Datos!AQ11</f>
        <v>2</v>
      </c>
      <c r="D11" s="451">
        <f>IF(ISNUMBER(Datos!M11),Datos!M11," - ")</f>
        <v>574</v>
      </c>
      <c r="E11" s="452">
        <f t="shared" si="0"/>
        <v>287</v>
      </c>
      <c r="F11" s="451">
        <f>IF(ISNUMBER(Datos!N11),Datos!N11," - ")</f>
        <v>1490</v>
      </c>
      <c r="G11" s="452">
        <f t="shared" si="1"/>
        <v>745</v>
      </c>
      <c r="H11" s="451">
        <f>IF(ISNUMBER(Datos!O11),Datos!O11," - ")</f>
        <v>558</v>
      </c>
      <c r="I11" s="452">
        <f t="shared" si="2"/>
        <v>279</v>
      </c>
    </row>
    <row r="12" spans="1:9">
      <c r="A12" s="450" t="str">
        <f>Datos!A12</f>
        <v xml:space="preserve">Jdos. 1ª Instª. e Instr.                        </v>
      </c>
      <c r="B12" s="480">
        <f>Datos!AO12</f>
        <v>0</v>
      </c>
      <c r="C12" s="458">
        <f>Datos!AQ12</f>
        <v>0</v>
      </c>
      <c r="D12" s="451">
        <f>IF(ISNUMBER(Datos!M12),Datos!M12," - ")</f>
        <v>0</v>
      </c>
      <c r="E12" s="452" t="str">
        <f t="shared" si="0"/>
        <v xml:space="preserve"> - </v>
      </c>
      <c r="F12" s="451">
        <f>IF(ISNUMBER(Datos!N12),Datos!N12," - ")</f>
        <v>0</v>
      </c>
      <c r="G12" s="452" t="str">
        <f t="shared" si="1"/>
        <v xml:space="preserve"> - </v>
      </c>
      <c r="H12" s="451">
        <f>IF(ISNUMBER(Datos!O12),Datos!O12," - ")</f>
        <v>5</v>
      </c>
      <c r="I12" s="452" t="str">
        <f t="shared" si="2"/>
        <v xml:space="preserve"> - </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10</v>
      </c>
      <c r="C14" s="1148">
        <f>Datos!AR14</f>
        <v>10</v>
      </c>
      <c r="D14" s="1146">
        <f>SUBTOTAL(9,D9:D13)</f>
        <v>3631</v>
      </c>
      <c r="E14" s="1147">
        <f t="shared" si="0"/>
        <v>363.1</v>
      </c>
      <c r="F14" s="1146">
        <f>SUBTOTAL(9,F9:F13)</f>
        <v>6772</v>
      </c>
      <c r="G14" s="1147">
        <f t="shared" si="1"/>
        <v>677.2</v>
      </c>
      <c r="H14" s="1146">
        <f>SUBTOTAL(9,H9:H13)</f>
        <v>6774</v>
      </c>
      <c r="I14" s="1147">
        <f>IF(ISNUMBER(H14/B14),H14/B14," - ")</f>
        <v>677.4</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4</v>
      </c>
      <c r="C16" s="481">
        <f>Datos!AQ16</f>
        <v>4</v>
      </c>
      <c r="D16" s="451">
        <f>IF(ISNUMBER(Datos!M16),Datos!M16," - ")</f>
        <v>2236</v>
      </c>
      <c r="E16" s="452">
        <f t="shared" ref="E16:E23" si="3">IF(ISNUMBER(D16/B16),D16/B16," - ")</f>
        <v>559</v>
      </c>
      <c r="F16" s="451">
        <f>IF(ISNUMBER(Datos!N16),Datos!N16," - ")</f>
        <v>10558</v>
      </c>
      <c r="G16" s="452">
        <f t="shared" ref="G16:G23" si="4">IF(ISNUMBER(F16/B16),F16/B16," - ")</f>
        <v>2639.5</v>
      </c>
      <c r="H16" s="451">
        <f>IF(ISNUMBER(Datos!O16),Datos!O16," - ")</f>
        <v>237</v>
      </c>
      <c r="I16" s="452">
        <f t="shared" ref="I16:I22" si="5">IF(ISNUMBER(H16/B16),H16/B16," - ")</f>
        <v>59.25</v>
      </c>
    </row>
    <row r="17" spans="1:9">
      <c r="A17" s="450" t="str">
        <f>Datos!A17</f>
        <v xml:space="preserve">Jdos. 1ª Instª. e Instr.                        </v>
      </c>
      <c r="B17" s="480">
        <f>Datos!AO17</f>
        <v>0</v>
      </c>
      <c r="C17" s="481">
        <f>Datos!AQ17</f>
        <v>0</v>
      </c>
      <c r="D17" s="451" t="str">
        <f>IF(ISNUMBER(Datos!M17),Datos!M17," - ")</f>
        <v xml:space="preserve"> - </v>
      </c>
      <c r="E17" s="452" t="str">
        <f t="shared" si="3"/>
        <v xml:space="preserve"> - </v>
      </c>
      <c r="F17" s="451" t="str">
        <f>IF(ISNUMBER(Datos!N17),Datos!N17," - ")</f>
        <v xml:space="preserve"> - </v>
      </c>
      <c r="G17" s="452" t="str">
        <f t="shared" si="4"/>
        <v xml:space="preserve"> - </v>
      </c>
      <c r="H17" s="451" t="str">
        <f>IF(ISNUMBER(Datos!O17),Datos!O17," - ")</f>
        <v xml:space="preserve"> - </v>
      </c>
      <c r="I17" s="452" t="str">
        <f t="shared" si="5"/>
        <v xml:space="preserve"> - </v>
      </c>
    </row>
    <row r="18" spans="1:9">
      <c r="A18" s="450" t="str">
        <f>Datos!A18</f>
        <v>Jdos. Violencia contra la mujer</v>
      </c>
      <c r="B18" s="480">
        <f>Datos!AO18</f>
        <v>1</v>
      </c>
      <c r="C18" s="481">
        <f>Datos!AQ18</f>
        <v>1</v>
      </c>
      <c r="D18" s="451">
        <f>IF(ISNUMBER(Datos!M18),Datos!M18," - ")</f>
        <v>266</v>
      </c>
      <c r="E18" s="452">
        <f>IF(ISNUMBER(D18/B18),D18/B18," - ")</f>
        <v>266</v>
      </c>
      <c r="F18" s="451">
        <f>IF(ISNUMBER(Datos!N18),Datos!N18," - ")</f>
        <v>739</v>
      </c>
      <c r="G18" s="452">
        <f>IF(ISNUMBER(F18/B18),F18/B18," - ")</f>
        <v>739</v>
      </c>
      <c r="H18" s="451">
        <f>IF(ISNUMBER(Datos!O18),Datos!O18," - ")</f>
        <v>40</v>
      </c>
      <c r="I18" s="452">
        <f t="shared" si="5"/>
        <v>40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5</v>
      </c>
      <c r="C23" s="1148">
        <f>Datos!AR23</f>
        <v>5</v>
      </c>
      <c r="D23" s="1146">
        <f>SUBTOTAL(9,D16:D22)</f>
        <v>2502</v>
      </c>
      <c r="E23" s="1147">
        <f t="shared" si="3"/>
        <v>500.4</v>
      </c>
      <c r="F23" s="1146">
        <f>SUBTOTAL(9,F16:F22)</f>
        <v>11297</v>
      </c>
      <c r="G23" s="1147">
        <f t="shared" si="4"/>
        <v>2259.4</v>
      </c>
      <c r="H23" s="1146">
        <f>SUBTOTAL(9,H16:H22)</f>
        <v>277</v>
      </c>
      <c r="I23" s="1147">
        <f>IF(ISNUMBER(H23/B23),H23/B23," - ")</f>
        <v>55.4</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14</v>
      </c>
      <c r="C31" s="1084">
        <f>Datos!AR31</f>
        <v>14</v>
      </c>
      <c r="D31" s="1084">
        <f>SUBTOTAL(9,D8:D30)</f>
        <v>6133</v>
      </c>
      <c r="E31" s="1085">
        <f>IF(ISNUMBER(D31/B31),D31/B31," - ")</f>
        <v>438.07142857142856</v>
      </c>
      <c r="F31" s="1084">
        <f>SUBTOTAL(9,F8:F30)</f>
        <v>18069</v>
      </c>
      <c r="G31" s="1085">
        <f>IF(ISNUMBER(F31/B31),F31/B31," - ")</f>
        <v>1290.6428571428571</v>
      </c>
      <c r="H31" s="1084">
        <f>SUBTOTAL(9,H8:H30)</f>
        <v>7051</v>
      </c>
      <c r="I31" s="1085">
        <f>IF(ISNUMBER(H31/B31),H31/B31," - ")</f>
        <v>503.64285714285717</v>
      </c>
    </row>
    <row r="34" spans="1:1">
      <c r="A34" s="439" t="str">
        <f>Criterios!A4</f>
        <v>Fecha Informe: 14 abr. 2023</v>
      </c>
    </row>
    <row r="39" spans="1:1">
      <c r="A39" s="462"/>
    </row>
  </sheetData>
  <sheetProtection algorithmName="SHA-512" hashValue="WeDCYuoHoFTiGek7GtJH3yKM1JXIN9T833B6j6usLJKonw3pG3rTAk5dL+lAp6MKDqhSsGfmco5qEwsjkqlbtg==" saltValue="f9N+CUMVE9DbBW1gVscoX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CATALUÑA</v>
      </c>
    </row>
    <row r="3" spans="1:4" ht="19.5">
      <c r="A3" s="484" t="s">
        <v>48</v>
      </c>
      <c r="B3" s="439" t="str">
        <f>Criterios!A10 &amp;"  "&amp;Criterios!B10</f>
        <v>Provincias  LLEIDA</v>
      </c>
    </row>
    <row r="4" spans="1:4" ht="13.5" thickBot="1">
      <c r="B4" s="439" t="str">
        <f>Criterios!A11 &amp;"  "&amp;Criterios!B11</f>
        <v>Resumenes por Partidos Judiciales  LLEIDA</v>
      </c>
    </row>
    <row r="5" spans="1:4" ht="12.75" customHeight="1">
      <c r="A5" s="1591" t="str">
        <f>"Año:  " &amp;Criterios!B5 &amp; "                  Trimestre   " &amp;Criterios!D5 &amp; " al " &amp;Criterios!D6</f>
        <v>Año:  2022                  Trimestre   1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f>IF(ISNUMBER(Datos!P9),Datos!P9," - ")</f>
        <v>3028</v>
      </c>
      <c r="C9" s="489">
        <f>IF(ISNUMBER(Datos!Q9),Datos!Q9," - ")</f>
        <v>4306</v>
      </c>
      <c r="D9" s="456">
        <f>IF(ISNUMBER(Datos!R9),Datos!R9," - ")</f>
        <v>11202</v>
      </c>
    </row>
    <row r="10" spans="1:4">
      <c r="A10" s="450" t="str">
        <f>Datos!A10</f>
        <v>Jdos. Violencia contra la mujer</v>
      </c>
      <c r="B10" s="488">
        <f>IF(ISNUMBER(Datos!P10),Datos!P10," - ")</f>
        <v>34</v>
      </c>
      <c r="C10" s="489">
        <f>IF(ISNUMBER(Datos!Q10),Datos!Q10," - ")</f>
        <v>39</v>
      </c>
      <c r="D10" s="456">
        <f>IF(ISNUMBER(Datos!R10),Datos!R10," - ")</f>
        <v>116</v>
      </c>
    </row>
    <row r="11" spans="1:4">
      <c r="A11" s="450" t="str">
        <f>Datos!A11</f>
        <v xml:space="preserve">Jdos. Familia                                   </v>
      </c>
      <c r="B11" s="488">
        <f>IF(ISNUMBER(Datos!P11),Datos!P11," - ")</f>
        <v>237</v>
      </c>
      <c r="C11" s="489">
        <f>IF(ISNUMBER(Datos!Q11),Datos!Q11," - ")</f>
        <v>195</v>
      </c>
      <c r="D11" s="456">
        <f>IF(ISNUMBER(Datos!R11),Datos!R11," - ")</f>
        <v>776</v>
      </c>
    </row>
    <row r="12" spans="1:4">
      <c r="A12" s="450" t="str">
        <f>Datos!A12</f>
        <v xml:space="preserve">Jdos. 1ª Instª. e Instr.                        </v>
      </c>
      <c r="B12" s="488">
        <f>IF(ISNUMBER(Datos!P12),Datos!P12," - ")</f>
        <v>0</v>
      </c>
      <c r="C12" s="489">
        <f>IF(ISNUMBER(Datos!Q12),Datos!Q12," - ")</f>
        <v>18</v>
      </c>
      <c r="D12" s="456">
        <f>IF(ISNUMBER(Datos!R12),Datos!R12," - ")</f>
        <v>260</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3299</v>
      </c>
      <c r="C14" s="1150">
        <f>SUBTOTAL(9,C9:C13)</f>
        <v>4558</v>
      </c>
      <c r="D14" s="1148">
        <f>SUBTOTAL(9,D9:D13)</f>
        <v>12354</v>
      </c>
    </row>
    <row r="15" spans="1:4" ht="13.5" thickTop="1">
      <c r="A15" s="444" t="str">
        <f>Datos!A15</f>
        <v xml:space="preserve">Jurisdicción Penal ( 2 ):                      </v>
      </c>
      <c r="B15" s="454"/>
      <c r="C15" s="490"/>
      <c r="D15" s="456"/>
    </row>
    <row r="16" spans="1:4">
      <c r="A16" s="450" t="str">
        <f>Datos!A16</f>
        <v xml:space="preserve">Jdos. Instrucción                               </v>
      </c>
      <c r="B16" s="488">
        <f>IF(ISNUMBER(Datos!P16),Datos!P16," - ")</f>
        <v>574</v>
      </c>
      <c r="C16" s="489">
        <f>IF(ISNUMBER(Datos!Q16),Datos!Q16," - ")</f>
        <v>482</v>
      </c>
      <c r="D16" s="456">
        <f>IF(ISNUMBER(Datos!R16),Datos!R16," - ")</f>
        <v>557</v>
      </c>
    </row>
    <row r="17" spans="1:4">
      <c r="A17" s="450" t="str">
        <f>Datos!A17</f>
        <v xml:space="preserve">Jdos. 1ª Instª. e Instr.                        </v>
      </c>
      <c r="B17" s="488" t="str">
        <f>IF(ISNUMBER(Datos!P17),Datos!P17," - ")</f>
        <v xml:space="preserve"> - </v>
      </c>
      <c r="C17" s="489" t="str">
        <f>IF(ISNUMBER(Datos!Q17),Datos!Q17," - ")</f>
        <v xml:space="preserve"> - </v>
      </c>
      <c r="D17" s="456" t="str">
        <f>IF(ISNUMBER(Datos!R17),Datos!R17," - ")</f>
        <v xml:space="preserve"> - </v>
      </c>
    </row>
    <row r="18" spans="1:4">
      <c r="A18" s="450" t="str">
        <f>Datos!A18</f>
        <v>Jdos. Violencia contra la mujer</v>
      </c>
      <c r="B18" s="488">
        <f>IF(ISNUMBER(Datos!P18),Datos!P18," - ")</f>
        <v>21</v>
      </c>
      <c r="C18" s="489">
        <f>IF(ISNUMBER(Datos!Q18),Datos!Q18," - ")</f>
        <v>40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595</v>
      </c>
      <c r="C23" s="1150">
        <f>SUBTOTAL(9,C16:C22)</f>
        <v>522</v>
      </c>
      <c r="D23" s="1148">
        <f>SUBTOTAL(9,D16:D22)</f>
        <v>557</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3894</v>
      </c>
      <c r="C31" s="1089">
        <f>SUBTOTAL(9,C8:C30)</f>
        <v>5080</v>
      </c>
      <c r="D31" s="1090">
        <f>SUBTOTAL(9,D8:D30)</f>
        <v>12911</v>
      </c>
    </row>
    <row r="32" spans="1:4" ht="7.5" customHeight="1"/>
    <row r="33" spans="1:1" ht="6" customHeight="1"/>
    <row r="34" spans="1:1">
      <c r="A34" s="439" t="str">
        <f>Criterios!A4</f>
        <v>Fecha Informe: 14 abr. 2023</v>
      </c>
    </row>
    <row r="39" spans="1:1">
      <c r="A39" s="462"/>
    </row>
  </sheetData>
  <sheetProtection algorithmName="SHA-512" hashValue="NuCB9Onw87/MzpG+0dmHucsaGLa+pFLWUzM2gXGHmf/1AoW9ErqiJ8Izfrf5HIW/sFVYufvX7bvpEuN5u23DVA==" saltValue="Kk2r+2BPCbAI2BhfpZ2Wq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CATALUÑA</v>
      </c>
    </row>
    <row r="3" spans="1:11" ht="18.75" customHeight="1">
      <c r="A3" s="484" t="s">
        <v>162</v>
      </c>
      <c r="B3" s="439" t="str">
        <f>Criterios!A10 &amp;"  "&amp;Criterios!B10</f>
        <v>Provincias  LLEIDA</v>
      </c>
    </row>
    <row r="4" spans="1:11" ht="10.5" customHeight="1" thickBot="1">
      <c r="B4" s="439" t="str">
        <f>Criterios!A11 &amp;"  "&amp;Criterios!B11</f>
        <v>Resumenes por Partidos Judiciales  LLEIDA</v>
      </c>
    </row>
    <row r="5" spans="1:11" ht="12.75" customHeight="1">
      <c r="A5" s="1591" t="str">
        <f>"Año:  " &amp;Criterios!B5 &amp; "    Trimestre   " &amp;Criterios!D5 &amp; " al " &amp;Criterios!D6</f>
        <v>Año:  2022    Trimestre   1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f>IF(ISNUMBER(
   IF(J_V="SI",(Datos!I9-Datos!S9)/Datos!S9,(Datos!I9+Datos!Y9-(Datos!S9+Datos!AG9))/(Datos!S9+Datos!AG9))
     ),IF(J_V="SI",(Datos!I9-Datos!S9)/Datos!S9,(Datos!I9+Datos!Y9-(Datos!S9+Datos!AG9))/(Datos!S9+Datos!AG9))," - ")</f>
        <v>-3.2919682867976557E-2</v>
      </c>
      <c r="C9" s="515">
        <f>IF(ISNUMBER(
   IF(J_V="SI",(Datos!J9-Datos!T9)/Datos!T9,(Datos!J9+Datos!Z9-(Datos!T9+Datos!AH9))/(Datos!T9+Datos!AH9))
     ),IF(J_V="SI",(Datos!J9-Datos!T9)/Datos!T9,(Datos!J9+Datos!Z9-(Datos!T9+Datos!AH9))/(Datos!T9+Datos!AH9))," - ")</f>
        <v>0.36353032659409018</v>
      </c>
      <c r="D9" s="515">
        <f>IF(ISNUMBER(
   IF(J_V="SI",(Datos!K9-Datos!U9)/Datos!U9,(Datos!K9+Datos!AA9-(Datos!U9+Datos!AI9))/(Datos!U9+Datos!AI9))
     ),IF(J_V="SI",(Datos!K9-Datos!U9)/Datos!U9,(Datos!K9+Datos!AA9-(Datos!U9+Datos!AI9))/(Datos!U9+Datos!AI9))," - ")</f>
        <v>0.22327971828304941</v>
      </c>
      <c r="E9" s="515">
        <f>IF(ISNUMBER(
   IF(J_V="SI",(Datos!L9-Datos!V9)/Datos!V9,(Datos!L9+Datos!AB9-(Datos!V9+Datos!AJ9))/(Datos!V9+Datos!AJ9))
     ),IF(J_V="SI",(Datos!L9-Datos!V9)/Datos!V9,(Datos!L9+Datos!AB9-(Datos!V9+Datos!AJ9))/(Datos!V9+Datos!AJ9))," - ")</f>
        <v>0.23489574050971307</v>
      </c>
      <c r="F9" s="515">
        <f>IF(ISNUMBER((Datos!M9-Datos!W9)/Datos!W9),(Datos!M9-Datos!W9)/Datos!W9," - ")</f>
        <v>0.10347376201034737</v>
      </c>
      <c r="G9" s="516">
        <f>IF(ISNUMBER((Datos!N9-Datos!X9)/Datos!X9),(Datos!N9-Datos!X9)/Datos!X9," - ")</f>
        <v>0.35660130718954247</v>
      </c>
      <c r="H9" s="514">
        <f>IF(ISNUMBER(((NºAsuntos!G9/NºAsuntos!E9)-Datos!BD9)/Datos!BD9),((NºAsuntos!G9/NºAsuntos!E9)-Datos!BD9)/Datos!BD9," - ")</f>
        <v>-0.10285844441859046</v>
      </c>
      <c r="I9" s="515">
        <f>IF(ISNUMBER(((NºAsuntos!I9/NºAsuntos!G9)-Datos!BE9)/Datos!BE9),((NºAsuntos!I9/NºAsuntos!G9)-Datos!BE9)/Datos!BE9," - ")</f>
        <v>9.4958021890263027E-3</v>
      </c>
      <c r="J9" s="521">
        <f>IF(ISNUMBER((('Resol  Asuntos'!D9/NºAsuntos!G9)-Datos!BF9)/Datos!BF9),(('Resol  Asuntos'!D9/NºAsuntos!G9)-Datos!BF9)/Datos!BF9," - ")</f>
        <v>-0.36183557766580271</v>
      </c>
      <c r="K9" s="522">
        <f>IF(ISNUMBER((((NºAsuntos!C9+NºAsuntos!E9)/NºAsuntos!G9)-Datos!BG9)/Datos!BG9),(((NºAsuntos!C9+NºAsuntos!E9)/NºAsuntos!G9)-Datos!BG9)/Datos!BG9," - ")</f>
        <v>-2.2136675087329801E-3</v>
      </c>
    </row>
    <row r="10" spans="1:11">
      <c r="A10" s="450" t="str">
        <f>Datos!A10</f>
        <v>Jdos. Violencia contra la mujer</v>
      </c>
      <c r="B10" s="514">
        <f>IF(ISNUMBER((Datos!I10-Datos!S10)/Datos!S10),(Datos!I10-Datos!S10)/Datos!S10," - ")</f>
        <v>2.4E-2</v>
      </c>
      <c r="C10" s="515">
        <f>IF(ISNUMBER((Datos!J10-Datos!T10)/Datos!T10),(Datos!J10-Datos!T10)/Datos!T10," - ")</f>
        <v>0.12871287128712872</v>
      </c>
      <c r="D10" s="515">
        <f>IF(ISNUMBER((Datos!K10-Datos!U10)/Datos!U10),(Datos!K10-Datos!U10)/Datos!U10," - ")</f>
        <v>-5.7416267942583733E-2</v>
      </c>
      <c r="E10" s="515">
        <f>IF(ISNUMBER((Datos!L10-Datos!V10)/Datos!V10),(Datos!L10-Datos!V10)/Datos!V10," - ")</f>
        <v>0.2421875</v>
      </c>
      <c r="F10" s="515">
        <f>IF(ISNUMBER((Datos!M10-Datos!W10)/Datos!W10),(Datos!M10-Datos!W10)/Datos!W10," - ")</f>
        <v>-0.12345679012345678</v>
      </c>
      <c r="G10" s="516">
        <f>IF(ISNUMBER((Datos!N10-Datos!X10)/Datos!X10),(Datos!N10-Datos!X10)/Datos!X10," - ")</f>
        <v>-9.7087378640776698E-2</v>
      </c>
      <c r="H10" s="514">
        <f>IF(ISNUMBER(((NºAsuntos!G10/NºAsuntos!E10)-Datos!BD10)/Datos!BD10),((NºAsuntos!G10/NºAsuntos!E10)-Datos!BD10)/Datos!BD10," - ")</f>
        <v>-0.16490388651053473</v>
      </c>
      <c r="I10" s="515">
        <f>IF(ISNUMBER(((NºAsuntos!I10/NºAsuntos!G10)-Datos!BE10)/Datos!BE10),((NºAsuntos!I10/NºAsuntos!G10)-Datos!BE10)/Datos!BE10," - ")</f>
        <v>0.31785374365482233</v>
      </c>
      <c r="J10" s="521">
        <f>IF(ISNUMBER((('Resol  Asuntos'!D10/NºAsuntos!G10)-Datos!BF10)/Datos!BF10),(('Resol  Asuntos'!D10/NºAsuntos!G10)-Datos!BF10)/Datos!BF10," - ")</f>
        <v>-7.0063295105596279E-2</v>
      </c>
      <c r="K10" s="522">
        <f>IF(ISNUMBER((((NºAsuntos!C10+NºAsuntos!E10)/NºAsuntos!G10)-Datos!BG10)/Datos!BG10),(((NºAsuntos!C10+NºAsuntos!E10)/NºAsuntos!G10)-Datos!BG10)/Datos!BG10," - ")</f>
        <v>0.1550008537853739</v>
      </c>
    </row>
    <row r="11" spans="1:11">
      <c r="A11" s="450" t="str">
        <f>Datos!A11</f>
        <v xml:space="preserve">Jdos. Familia                                   </v>
      </c>
      <c r="B11" s="514">
        <f>IF(ISNUMBER(
   IF(J_V="SI",(Datos!I11-Datos!S11)/Datos!S11,(Datos!I11+Datos!Y11-(Datos!S11+Datos!AG11))/(Datos!S11+Datos!AG11))
     ),IF(J_V="SI",(Datos!I11-Datos!S11)/Datos!S11,(Datos!I11+Datos!Y11-(Datos!S11+Datos!AG11))/(Datos!S11+Datos!AG11))," - ")</f>
        <v>0.20306513409961685</v>
      </c>
      <c r="C11" s="515">
        <f>IF(ISNUMBER(
   IF(J_V="SI",(Datos!J11-Datos!T11)/Datos!T11,(Datos!J11+Datos!Z11-(Datos!T11+Datos!AH11))/(Datos!T11+Datos!AH11))
     ),IF(J_V="SI",(Datos!J11-Datos!T11)/Datos!T11,(Datos!J11+Datos!Z11-(Datos!T11+Datos!AH11))/(Datos!T11+Datos!AH11))," - ")</f>
        <v>-0.24242424242424243</v>
      </c>
      <c r="D11" s="515">
        <f>IF(ISNUMBER(
   IF(J_V="SI",(Datos!K11-Datos!U11)/Datos!U11,(Datos!K11+Datos!AA11-(Datos!U11+Datos!AI11))/(Datos!U11+Datos!AI11))
     ),IF(J_V="SI",(Datos!K11-Datos!U11)/Datos!U11,(Datos!K11+Datos!AA11-(Datos!U11+Datos!AI11))/(Datos!U11+Datos!AI11))," - ")</f>
        <v>-0.26893028846153844</v>
      </c>
      <c r="E11" s="515">
        <f>IF(ISNUMBER(
   IF(J_V="SI",(Datos!L11-Datos!V11)/Datos!V11,(Datos!L11+Datos!AB11-(Datos!V11+Datos!AJ11))/(Datos!V11+Datos!AJ11))
     ),IF(J_V="SI",(Datos!L11-Datos!V11)/Datos!V11,(Datos!L11+Datos!AB11-(Datos!V11+Datos!AJ11))/(Datos!V11+Datos!AJ11))," - ")</f>
        <v>-0.52813163481953296</v>
      </c>
      <c r="F11" s="515">
        <f>IF(ISNUMBER((Datos!M11-Datos!W11)/Datos!W11),(Datos!M11-Datos!W11)/Datos!W11," - ")</f>
        <v>-0.20055710306406685</v>
      </c>
      <c r="G11" s="516">
        <f>IF(ISNUMBER((Datos!N11-Datos!X11)/Datos!X11),(Datos!N11-Datos!X11)/Datos!X11," - ")</f>
        <v>-0.29383886255924169</v>
      </c>
      <c r="H11" s="514">
        <f>IF(ISNUMBER(((NºAsuntos!G11/NºAsuntos!E11)-Datos!BD11)/Datos!BD11),((NºAsuntos!G11/NºAsuntos!E11)-Datos!BD11)/Datos!BD11," - ")</f>
        <v>-3.498798076923075E-2</v>
      </c>
      <c r="I11" s="515">
        <f>IF(ISNUMBER(((NºAsuntos!I11/NºAsuntos!G11)-Datos!BE11)/Datos!BE11),((NºAsuntos!I11/NºAsuntos!G11)-Datos!BE11)/Datos!BE11," - ")</f>
        <v>-0.35455079353859659</v>
      </c>
      <c r="J11" s="521">
        <f>IF(ISNUMBER((('Resol  Asuntos'!D11/NºAsuntos!G11)-Datos!BF11)/Datos!BF11),(('Resol  Asuntos'!D11/NºAsuntos!G11)-Datos!BF11)/Datos!BF11," - ")</f>
        <v>-0.62789059593309215</v>
      </c>
      <c r="K11" s="522">
        <f>IF(ISNUMBER((((NºAsuntos!C11+NºAsuntos!E11)/NºAsuntos!G11)-Datos!BG11)/Datos!BG11),(((NºAsuntos!C11+NºAsuntos!E11)/NºAsuntos!G11)-Datos!BG11)/Datos!BG11," - ")</f>
        <v>0.23924905834151469</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-0.66666666666666663</v>
      </c>
      <c r="C12" s="515">
        <f>IF(ISNUMBER(
   IF(J_V="SI",(Datos!J12-Datos!T12)/Datos!T12,(Datos!J12+Datos!Z12-(Datos!T12+Datos!AH12))/(Datos!T12+Datos!AH12))
     ),IF(J_V="SI",(Datos!J12-Datos!T12)/Datos!T12,(Datos!J12+Datos!Z12-(Datos!T12+Datos!AH12))/(Datos!T12+Datos!AH12))," - ")</f>
        <v>-1</v>
      </c>
      <c r="D12" s="515">
        <f>IF(ISNUMBER(
   IF(J_V="SI",(Datos!K12-Datos!U12)/Datos!U12,(Datos!K12+Datos!AA12-(Datos!U12+Datos!AI12))/(Datos!U12+Datos!AI12))
     ),IF(J_V="SI",(Datos!K12-Datos!U12)/Datos!U12,(Datos!K12+Datos!AA12-(Datos!U12+Datos!AI12))/(Datos!U12+Datos!AI12))," - ")</f>
        <v>-1</v>
      </c>
      <c r="E12" s="515">
        <f>IF(ISNUMBER(
   IF(J_V="SI",(Datos!L12-Datos!V12)/Datos!V12,(Datos!L12+Datos!AB12-(Datos!V12+Datos!AJ12))/(Datos!V12+Datos!AJ12))
     ),IF(J_V="SI",(Datos!L12-Datos!V12)/Datos!V12,(Datos!L12+Datos!AB12-(Datos!V12+Datos!AJ12))/(Datos!V12+Datos!AJ12))," - ")</f>
        <v>0</v>
      </c>
      <c r="F12" s="515" t="str">
        <f>IF(ISNUMBER((Datos!M12-Datos!W12)/Datos!W12),(Datos!M12-Datos!W12)/Datos!W12," - ")</f>
        <v xml:space="preserve"> - </v>
      </c>
      <c r="G12" s="516">
        <f>IF(ISNUMBER((Datos!N12-Datos!X12)/Datos!X12),(Datos!N12-Datos!X12)/Datos!X12," - ")</f>
        <v>-1</v>
      </c>
      <c r="H12" s="514" t="str">
        <f>IF(ISNUMBER(((NºAsuntos!G12/NºAsuntos!E12)-Datos!BD12)/Datos!BD12),((NºAsuntos!G12/NºAsuntos!E12)-Datos!BD12)/Datos!BD12," - ")</f>
        <v xml:space="preserve"> - </v>
      </c>
      <c r="I12" s="515" t="str">
        <f>IF(ISNUMBER(((NºAsuntos!I12/NºAsuntos!G12)-Datos!BE12)/Datos!BE12),((NºAsuntos!I12/NºAsuntos!G12)-Datos!BE12)/Datos!BE12," - ")</f>
        <v xml:space="preserve"> - </v>
      </c>
      <c r="J12" s="521" t="str">
        <f>IF(ISNUMBER((('Resol  Asuntos'!D12/NºAsuntos!G12)-Datos!BF12)/Datos!BF12),(('Resol  Asuntos'!D12/NºAsuntos!G12)-Datos!BF12)/Datos!BF12," - ")</f>
        <v xml:space="preserve"> - </v>
      </c>
      <c r="K12" s="522" t="str">
        <f>IF(ISNUMBER((((NºAsuntos!C12+NºAsuntos!E12)/NºAsuntos!G12)-Datos!BG12)/Datos!BG12),(((NºAsuntos!C12+NºAsuntos!E12)/NºAsuntos!G12)-Datos!BG12)/Datos!BG12," - ")</f>
        <v xml:space="preserve"> - </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1.7075773745997867E-2</v>
      </c>
      <c r="C14" s="1152">
        <f>IF(ISNUMBER(
   IF(J_V="SI",(Datos!J14-Datos!T14)/Datos!T14,(Datos!J14+Datos!Z14-(Datos!T14+Datos!AH14))/(Datos!T14+Datos!AH14))
     ),IF(J_V="SI",(Datos!J14-Datos!T14)/Datos!T14,(Datos!J14+Datos!Z14-(Datos!T14+Datos!AH14))/(Datos!T14+Datos!AH14))," - ")</f>
        <v>0.22035515115937776</v>
      </c>
      <c r="D14" s="1152">
        <f>IF(ISNUMBER(
   IF(J_V="SI",(Datos!K14-Datos!U14)/Datos!U14,(Datos!K14+Datos!AA14-(Datos!U14+Datos!AI14))/(Datos!U14+Datos!AI14))
     ),IF(J_V="SI",(Datos!K14-Datos!U14)/Datos!U14,(Datos!K14+Datos!AA14-(Datos!U14+Datos!AI14))/(Datos!U14+Datos!AI14))," - ")</f>
        <v>0.10207132180226351</v>
      </c>
      <c r="E14" s="1152">
        <f>IF(ISNUMBER(
   IF(J_V="SI",(Datos!L14-Datos!V14)/Datos!V14,(Datos!L14+Datos!AB14-(Datos!V14+Datos!AJ14))/(Datos!V14+Datos!AJ14))
     ),IF(J_V="SI",(Datos!L14-Datos!V14)/Datos!V14,(Datos!L14+Datos!AB14-(Datos!V14+Datos!AJ14))/(Datos!V14+Datos!AJ14))," - ")</f>
        <v>4.6432318992654771E-2</v>
      </c>
      <c r="F14" s="1153">
        <f>IF(ISNUMBER((Datos!M14-Datos!W14)/Datos!W14),(Datos!M14-Datos!W14)/Datos!W14," - ")</f>
        <v>3.5948644793152636E-2</v>
      </c>
      <c r="G14" s="1154">
        <f>IF(ISNUMBER((Datos!N14-Datos!X14)/Datos!X14),(Datos!N14-Datos!X14)/Datos!X14," - ")</f>
        <v>0.12119205298013246</v>
      </c>
      <c r="H14" s="1154">
        <f>IF(ISNUMBER(((NºAsuntos!G14/NºAsuntos!E14)-Datos!BD14)/Datos!BD14),((NºAsuntos!G14/NºAsuntos!E14)-Datos!BD14)/Datos!BD14," - ")</f>
        <v>-9.6925742678056204E-2</v>
      </c>
      <c r="I14" s="1154">
        <f>IF(ISNUMBER(((NºAsuntos!I14/NºAsuntos!G14)-Datos!BE14)/Datos!BE14),((NºAsuntos!I14/NºAsuntos!G14)-Datos!BE14)/Datos!BE14," - ")</f>
        <v>-5.0485845796821957E-2</v>
      </c>
      <c r="J14" s="1154">
        <f>IF(ISNUMBER((('Resol  Asuntos'!D14/NºAsuntos!G14)-Datos!BF14)/Datos!BF14),(('Resol  Asuntos'!D14/NºAsuntos!G14)-Datos!BF14)/Datos!BF14," - ")</f>
        <v>-0.45252490928686528</v>
      </c>
      <c r="K14" s="1154">
        <f>IF(ISNUMBER((((NºAsuntos!C14+NºAsuntos!E14)/NºAsuntos!G14)-Datos!BG14)/Datos!BG14),(((NºAsuntos!C14+NºAsuntos!E14)/NºAsuntos!G14)-Datos!BG14)/Datos!BG14," - ")</f>
        <v>4.1874524242878672E-2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f>IF(ISNUMBER(
   IF(D_I="SI",(Datos!I16-Datos!S16)/Datos!S16,(Datos!I16+Datos!AC16-(Datos!S16+Datos!AK16))/(Datos!S16+Datos!AK16))
     ),IF(D_I="SI",(Datos!I16-Datos!S16)/Datos!S16,(Datos!I16+Datos!AC16-(Datos!S16+Datos!AK16))/(Datos!S16+Datos!AK16))," - ")</f>
        <v>7.1929005137786078E-2</v>
      </c>
      <c r="C16" s="515">
        <f>IF(ISNUMBER(
   IF(D_I="SI",(Datos!J16-Datos!T16)/Datos!T16,(Datos!J16+Datos!AD16-(Datos!T16+Datos!AL16))/(Datos!T16+Datos!AL16))
     ),IF(D_I="SI",(Datos!J16-Datos!T16)/Datos!T16,(Datos!J16+Datos!AD16-(Datos!T16+Datos!AL16))/(Datos!T16+Datos!AL16))," - ")</f>
        <v>9.5081967213114751E-2</v>
      </c>
      <c r="D16" s="515">
        <f>IF(ISNUMBER(
   IF(D_I="SI",(Datos!K16-Datos!U16)/Datos!U16,(Datos!K16+Datos!AE16-(Datos!U16+Datos!AM16))/(Datos!U16+Datos!AM16))
     ),IF(D_I="SI",(Datos!K16-Datos!U16)/Datos!U16,(Datos!K16+Datos!AE16-(Datos!U16+Datos!AM16))/(Datos!U16+Datos!AM16))," - ")</f>
        <v>6.7232551872810561E-2</v>
      </c>
      <c r="E16" s="515">
        <f>IF(ISNUMBER(
   IF(D_I="SI",(Datos!L16-Datos!V16)/Datos!V16,(Datos!L16+Datos!AF16-(Datos!V16+Datos!AN16))/(Datos!V16+Datos!AN16))
     ),IF(D_I="SI",(Datos!L16-Datos!V16)/Datos!V16,(Datos!L16+Datos!AF16-(Datos!V16+Datos!AN16))/(Datos!V16+Datos!AN16))," - ")</f>
        <v>0.1494553376906318</v>
      </c>
      <c r="F16" s="515">
        <f>IF(ISNUMBER((Datos!M16-Datos!W16)/Datos!W16),(Datos!M16-Datos!W16)/Datos!W16," - ")</f>
        <v>4.3884220354808587E-2</v>
      </c>
      <c r="G16" s="516">
        <f>IF(ISNUMBER((Datos!N16-Datos!X16)/Datos!X16),(Datos!N16-Datos!X16)/Datos!X16," - ")</f>
        <v>6.0892282958199359E-2</v>
      </c>
      <c r="H16" s="514">
        <f>IF(ISNUMBER(((NºAsuntos!G16/NºAsuntos!E16)-Datos!BD16)/Datos!BD16),((NºAsuntos!G16/NºAsuntos!E16)-Datos!BD16)/Datos!BD16," - ")</f>
        <v>-2.543135233171484E-2</v>
      </c>
      <c r="I16" s="515">
        <f>IF(ISNUMBER(((NºAsuntos!I16/NºAsuntos!G16)-Datos!BE16)/Datos!BE16),((NºAsuntos!I16/NºAsuntos!G16)-Datos!BE16)/Datos!BE16," - ")</f>
        <v>7.7042989059445621E-2</v>
      </c>
      <c r="J16" s="521">
        <f>IF(ISNUMBER((('Resol  Asuntos'!D16/NºAsuntos!G16)-Datos!BF16)/Datos!BF16),(('Resol  Asuntos'!D16/NºAsuntos!G16)-Datos!BF16)/Datos!BF16," - ")</f>
        <v>-2.1877454428305888E-2</v>
      </c>
      <c r="K16" s="522">
        <f>IF(ISNUMBER((((NºAsuntos!C16+NºAsuntos!E16)/NºAsuntos!G16)-Datos!BG16)/Datos!BG16),(((NºAsuntos!C16+NºAsuntos!E16)/NºAsuntos!G16)-Datos!BG16)/Datos!BG16," - ")</f>
        <v>2.1263475809419362E-2</v>
      </c>
    </row>
    <row r="17" spans="1:11">
      <c r="A17" s="450" t="str">
        <f>Datos!A17</f>
        <v xml:space="preserve">Jdos. 1ª Instª. e Instr.                        </v>
      </c>
      <c r="B17" s="514" t="str">
        <f>IF(ISNUMBER(
   IF(D_I="SI",(Datos!I17-Datos!S17)/Datos!S17,(Datos!I17+Datos!AC17-(Datos!S17+Datos!AK17))/(Datos!S17+Datos!AK17))
     ),IF(D_I="SI",(Datos!I17-Datos!S17)/Datos!S17,(Datos!I17+Datos!AC17-(Datos!S17+Datos!AK17))/(Datos!S17+Datos!AK17))," - ")</f>
        <v xml:space="preserve"> - </v>
      </c>
      <c r="C17" s="515" t="str">
        <f>IF(ISNUMBER(
   IF(D_I="SI",(Datos!J17-Datos!T17)/Datos!T17,(Datos!J17+Datos!AD17-(Datos!T17+Datos!AL17))/(Datos!T17+Datos!AL17))
     ),IF(D_I="SI",(Datos!J17-Datos!T17)/Datos!T17,(Datos!J17+Datos!AD17-(Datos!T17+Datos!AL17))/(Datos!T17+Datos!AL17))," - ")</f>
        <v xml:space="preserve"> - </v>
      </c>
      <c r="D17" s="515" t="str">
        <f>IF(ISNUMBER(
   IF(D_I="SI",(Datos!K17-Datos!U17)/Datos!U17,(Datos!K17+Datos!AE17-(Datos!U17+Datos!AM17))/(Datos!U17+Datos!AM17))
     ),IF(D_I="SI",(Datos!K17-Datos!U17)/Datos!U17,(Datos!K17+Datos!AE17-(Datos!U17+Datos!AM17))/(Datos!U17+Datos!AM17))," - ")</f>
        <v xml:space="preserve"> - </v>
      </c>
      <c r="E17" s="515" t="str">
        <f>IF(ISNUMBER(
   IF(D_I="SI",(Datos!L17-Datos!V17)/Datos!V17,(Datos!L17+Datos!AF17-(Datos!V17+Datos!AN17))/(Datos!V17+Datos!AN17))
     ),IF(D_I="SI",(Datos!L17-Datos!V17)/Datos!V17,(Datos!L17+Datos!AF17-(Datos!V17+Datos!AN17))/(Datos!V17+Datos!AN17))," - ")</f>
        <v xml:space="preserve"> - </v>
      </c>
      <c r="F17" s="515" t="str">
        <f>IF(ISNUMBER((Datos!M17-Datos!W17)/Datos!W17),(Datos!M17-Datos!W17)/Datos!W17," - ")</f>
        <v xml:space="preserve"> - </v>
      </c>
      <c r="G17" s="516" t="str">
        <f>IF(ISNUMBER((Datos!N17-Datos!X17)/Datos!X17),(Datos!N17-Datos!X17)/Datos!X17," - ")</f>
        <v xml:space="preserve"> - </v>
      </c>
      <c r="H17" s="514" t="str">
        <f>IF(ISNUMBER(((NºAsuntos!G17/NºAsuntos!E17)-Datos!BD17)/Datos!BD17),((NºAsuntos!G17/NºAsuntos!E17)-Datos!BD17)/Datos!BD17," - ")</f>
        <v xml:space="preserve"> - </v>
      </c>
      <c r="I17" s="515" t="str">
        <f>IF(ISNUMBER(((NºAsuntos!I17/NºAsuntos!G17)-Datos!BE17)/Datos!BE17),((NºAsuntos!I17/NºAsuntos!G17)-Datos!BE17)/Datos!BE17," - ")</f>
        <v xml:space="preserve"> - </v>
      </c>
      <c r="J17" s="521" t="str">
        <f>IF(ISNUMBER((('Resol  Asuntos'!D17/NºAsuntos!G17)-Datos!BF17)/Datos!BF17),(('Resol  Asuntos'!D17/NºAsuntos!G17)-Datos!BF17)/Datos!BF17," - ")</f>
        <v xml:space="preserve"> - </v>
      </c>
      <c r="K17" s="522" t="str">
        <f>IF(ISNUMBER((((NºAsuntos!C17+NºAsuntos!E17)/NºAsuntos!G17)-Datos!BG17)/Datos!BG17),(((NºAsuntos!C17+NºAsuntos!E17)/NºAsuntos!G17)-Datos!BG17)/Datos!BG17," - ")</f>
        <v xml:space="preserve"> - </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-0.14432989690721648</v>
      </c>
      <c r="C18" s="515">
        <f>IF(ISNUMBER(
   IF(D_I="SI",(Datos!J18-Datos!T18)/Datos!T18,(Datos!J18+Datos!AD18-(Datos!T18+Datos!AL18))/(Datos!T18+Datos!AL18))
     ),IF(D_I="SI",(Datos!J18-Datos!T18)/Datos!T18,(Datos!J18+Datos!AD18-(Datos!T18+Datos!AL18))/(Datos!T18+Datos!AL18))," - ")</f>
        <v>4.7619047619047616E-2</v>
      </c>
      <c r="D18" s="515">
        <f>IF(ISNUMBER(
   IF(D_I="SI",(Datos!K18-Datos!U18)/Datos!U18,(Datos!K18+Datos!AE18-(Datos!U18+Datos!AM18))/(Datos!U18+Datos!AM18))
     ),IF(D_I="SI",(Datos!K18-Datos!U18)/Datos!U18,(Datos!K18+Datos!AE18-(Datos!U18+Datos!AM18))/(Datos!U18+Datos!AM18))," - ")</f>
        <v>-1.7777777777777778E-2</v>
      </c>
      <c r="E18" s="515">
        <f>IF(ISNUMBER(
   IF(D_I="SI",(Datos!L18-Datos!V18)/Datos!V18,(Datos!L18+Datos!AF18-(Datos!V18+Datos!AN18))/(Datos!V18+Datos!AN18))
     ),IF(D_I="SI",(Datos!L18-Datos!V18)/Datos!V18,(Datos!L18+Datos!AF18-(Datos!V18+Datos!AN18))/(Datos!V18+Datos!AN18))," - ")</f>
        <v>0.35542168674698793</v>
      </c>
      <c r="F18" s="515">
        <f>IF(ISNUMBER((Datos!M18-Datos!W18)/Datos!W18),(Datos!M18-Datos!W18)/Datos!W18," - ")</f>
        <v>1.9157088122605363E-2</v>
      </c>
      <c r="G18" s="516">
        <f>IF(ISNUMBER((Datos!N18-Datos!X18)/Datos!X18),(Datos!N18-Datos!X18)/Datos!X18," - ")</f>
        <v>0.14930015552099535</v>
      </c>
      <c r="H18" s="514">
        <f>IF(ISNUMBER(((NºAsuntos!G18/NºAsuntos!E18)-Datos!BD18)/Datos!BD18),((NºAsuntos!G18/NºAsuntos!E18)-Datos!BD18)/Datos!BD18," - ")</f>
        <v>-6.2424242424242556E-2</v>
      </c>
      <c r="I18" s="515">
        <f>IF(ISNUMBER(((NºAsuntos!I18/NºAsuntos!G18)-Datos!BE18)/Datos!BE18),((NºAsuntos!I18/NºAsuntos!G18)-Datos!BE18)/Datos!BE18," - ")</f>
        <v>0.37995420596412816</v>
      </c>
      <c r="J18" s="521">
        <f>IF(ISNUMBER((('Resol  Asuntos'!D18/NºAsuntos!G18)-Datos!BF18)/Datos!BF18),(('Resol  Asuntos'!D18/NºAsuntos!G18)-Datos!BF18)/Datos!BF18," - ")</f>
        <v>3.7603370260571145E-2</v>
      </c>
      <c r="K18" s="522">
        <f>IF(ISNUMBER((((NºAsuntos!C18+NºAsuntos!E18)/NºAsuntos!G18)-Datos!BG18)/Datos!BG18),(((NºAsuntos!C18+NºAsuntos!E18)/NºAsuntos!G18)-Datos!BG18)/Datos!BG18," - ")</f>
        <v>4.4627908621913875E-2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6.2555853440571935E-2</v>
      </c>
      <c r="C23" s="1152">
        <f>IF(ISNUMBER(
   IF(Criterios!B14="SI",(Datos!J23-Datos!T23)/Datos!T23,(Datos!J23+Datos!AD23-(Datos!T23+Datos!AL23))/(Datos!T23+Datos!AL23))
     ),IF(Criterios!B14="SI",(Datos!J23-Datos!T23)/Datos!T23,(Datos!J23+Datos!AD23-(Datos!T23+Datos!AL23))/(Datos!T23+Datos!AL23))," - ")</f>
        <v>9.0666343002791597E-2</v>
      </c>
      <c r="D23" s="1152">
        <f>IF(ISNUMBER(
   IF(Criterios!B14="SI",(Datos!K23-Datos!U23)/Datos!U23,(Datos!K23+Datos!AE23-(Datos!U23+Datos!AM23))/(Datos!U23+Datos!AM23))
     ),IF(Criterios!B14="SI",(Datos!K23-Datos!U23)/Datos!U23,(Datos!K23+Datos!AE23-(Datos!U23+Datos!AM23))/(Datos!U23+Datos!AM23))," - ")</f>
        <v>5.9077897557707537E-2</v>
      </c>
      <c r="E23" s="1152">
        <f>IF(ISNUMBER(
   IF(Criterios!B14="SI",(Datos!L23-Datos!V23)/Datos!V23,(Datos!L23+Datos!AF23-(Datos!V23+Datos!AN23))/(Datos!V23+Datos!AN23))
     ),IF(Criterios!B14="SI",(Datos!L23-Datos!V23)/Datos!V23,(Datos!L23+Datos!AF23-(Datos!V23+Datos!AN23))/(Datos!V23+Datos!AN23))," - ")</f>
        <v>0.15664423885618167</v>
      </c>
      <c r="F23" s="1153">
        <f>IF(ISNUMBER((Datos!M23-Datos!W23)/Datos!W23),(Datos!M23-Datos!W23)/Datos!W23," - ")</f>
        <v>4.1198501872659173E-2</v>
      </c>
      <c r="G23" s="1154">
        <f>IF(ISNUMBER((Datos!N23-Datos!X23)/Datos!X23),(Datos!N23-Datos!X23)/Datos!X23," - ")</f>
        <v>6.6257668711656448E-2</v>
      </c>
      <c r="H23" s="1154">
        <f>IF(ISNUMBER(((NºAsuntos!G23/NºAsuntos!E23)-Datos!BD23)/Datos!BD23),((NºAsuntos!G23/NºAsuntos!E23)-Datos!BD23)/Datos!BD23," - ")</f>
        <v>-2.8962519699760395E-2</v>
      </c>
      <c r="I23" s="1154">
        <f>IF(ISNUMBER(((NºAsuntos!I23/NºAsuntos!G23)-Datos!BE23)/Datos!BE23),((NºAsuntos!I23/NºAsuntos!G23)-Datos!BE23)/Datos!BE23," - ")</f>
        <v>9.2123857483446356E-2</v>
      </c>
      <c r="J23" s="1154">
        <f>IF(ISNUMBER((('Resol  Asuntos'!D23/NºAsuntos!G23)-Datos!BF23)/Datos!BF23),(('Resol  Asuntos'!D23/NºAsuntos!G23)-Datos!BF23)/Datos!BF23," - ")</f>
        <v>-1.6882040241118491E-2</v>
      </c>
      <c r="K23" s="1154">
        <f>IF(ISNUMBER((((NºAsuntos!C23+NºAsuntos!E23)/NºAsuntos!G23)-Datos!BG23)/Datos!BG23),(((NºAsuntos!C23+NºAsuntos!E23)/NºAsuntos!G23)-Datos!BG23)/Datos!BG23," - ")</f>
        <v>2.4156619908384844E-2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3.4079518877380553E-2</v>
      </c>
      <c r="C31" s="1092">
        <f>IF(ISNUMBER(
   IF(J_V="SI",(Datos!J31-Datos!T31)/Datos!T31,(Datos!J31+Datos!Z31-(Datos!T31+Datos!AH31))/(Datos!T31+Datos!AH31))
     ),IF(J_V="SI",(Datos!J31-Datos!T31)/Datos!T31,(Datos!J31+Datos!Z31-(Datos!T31+Datos!AH31))/(Datos!T31+Datos!AH31))," - ")</f>
        <v>0.14937221816249252</v>
      </c>
      <c r="D31" s="1092">
        <f>IF(ISNUMBER(
   IF(J_V="SI",(Datos!K31-Datos!U31)/Datos!U31,(Datos!K31+Datos!AA31-(Datos!U31+Datos!AI31))/(Datos!U31+Datos!AI31))
     ),IF(J_V="SI",(Datos!K31-Datos!U31)/Datos!U31,(Datos!K31+Datos!AA31-(Datos!U31+Datos!AI31))/(Datos!U31+Datos!AI31))," - ")</f>
        <v>7.8902455034790597E-2</v>
      </c>
      <c r="E31" s="1092">
        <f>IF(ISNUMBER(
   IF(J_V="SI",(Datos!L31-Datos!V31)/Datos!V31,(Datos!L31+Datos!AB31-(Datos!V31+Datos!AJ31))/(Datos!V31+Datos!AJ31))
     ),IF(J_V="SI",(Datos!L31-Datos!V31)/Datos!V31,(Datos!L31+Datos!AB31-(Datos!V31+Datos!AJ31))/(Datos!V31+Datos!AJ31))," - ")</f>
        <v>8.8772213247172854E-2</v>
      </c>
      <c r="F31" s="1093">
        <f>IF(ISNUMBER((Datos!M31-Datos!W31)/Datos!W31),(Datos!M31-Datos!W31)/Datos!W31," - ")</f>
        <v>3.8083953960731214E-2</v>
      </c>
      <c r="G31" s="1094">
        <f>IF(ISNUMBER((Datos!N31-Datos!X31)/Datos!X31),(Datos!N31-Datos!X31)/Datos!X31," - ")</f>
        <v>8.6203787195671774E-2</v>
      </c>
      <c r="H31" s="1095">
        <f>IF(ISNUMBER((Tasas!B31-Datos!BD31)/Datos!BD31),(Tasas!B31-Datos!BD31)/Datos!BD31," - ")</f>
        <v>-6.1311524686373797E-2</v>
      </c>
      <c r="I31" s="1096">
        <f>IF(ISNUMBER((Tasas!C31-Datos!BE31)/Datos!BE31),(Tasas!C31-Datos!BE31)/Datos!BE31," - ")</f>
        <v>9.1479615847792801E-3</v>
      </c>
      <c r="J31" s="1097">
        <f>IF(ISNUMBER((Tasas!D31-Datos!BF31)/Datos!BF31),(Tasas!D31-Datos!BF31)/Datos!BF31," - ")</f>
        <v>-0.32496371802129065</v>
      </c>
      <c r="K31" s="1097">
        <f>IF(ISNUMBER((Tasas!E31-Datos!BG31)/Datos!BG31),(Tasas!E31-Datos!BG31)/Datos!BG31," - ")</f>
        <v>3.4912121447992737E-2</v>
      </c>
    </row>
    <row r="32" spans="1:11">
      <c r="A32" s="459"/>
      <c r="B32" s="459"/>
      <c r="C32" s="459"/>
      <c r="D32" s="459"/>
      <c r="E32" s="459"/>
    </row>
    <row r="33" spans="1:12" ht="70.5" customHeight="1">
      <c r="A33" s="1611" t="s">
        <v>198</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14 abr.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7alLtx48jRLU7T7Qf0SWG9MAy82/ObVZSahfkam6xKc6bcwDcG6x4ZJlrNAIhnUOFaCCpmdXuYPj5KaXUALcRw==" saltValue="X+sd+OO/4qAimTLxbd0CkQ=="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CATALUÑA</v>
      </c>
    </row>
    <row r="3" spans="1:7" ht="19.5">
      <c r="A3" s="491" t="s">
        <v>17</v>
      </c>
      <c r="B3" s="439" t="str">
        <f>Criterios!A10 &amp;"  "&amp;Criterios!B10</f>
        <v>Provincias  LLEIDA</v>
      </c>
    </row>
    <row r="4" spans="1:7" ht="11.25" customHeight="1" thickBot="1">
      <c r="B4" s="439" t="str">
        <f>Criterios!A11 &amp;"  "&amp;Criterios!B11</f>
        <v>Resumenes por Partidos Judiciales  LLEIDA</v>
      </c>
    </row>
    <row r="5" spans="1:7" ht="12.75" customHeight="1">
      <c r="A5" s="1591" t="str">
        <f>"Año:  " &amp;Criterios!B5 &amp; "    Trimestre   " &amp;Criterios!D5 &amp; " al " &amp;Criterios!D6</f>
        <v>Año:  2022    Trimestre   1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f>IF(ISNUMBER(NºAsuntos!G9/NºAsuntos!E9),NºAsuntos!G9/NºAsuntos!E9," - ")</f>
        <v>0.91623895067008843</v>
      </c>
      <c r="C9" s="498">
        <f>IF(ISNUMBER(NºAsuntos!I9/NºAsuntos!G9),NºAsuntos!I9/NºAsuntos!G9," - ")</f>
        <v>0.53909593091107133</v>
      </c>
      <c r="D9" s="499">
        <f>IF(ISNUMBER('Resol  Asuntos'!D9/NºAsuntos!G9),'Resol  Asuntos'!D9/NºAsuntos!G9," - ")</f>
        <v>0.23231930288648564</v>
      </c>
      <c r="E9" s="500">
        <f>IF(ISNUMBER((NºAsuntos!C9+NºAsuntos!E9)/NºAsuntos!G9),(NºAsuntos!C9+NºAsuntos!E9)/NºAsuntos!G9," - ")</f>
        <v>1.5279701237065277</v>
      </c>
      <c r="G9" s="523"/>
    </row>
    <row r="10" spans="1:7">
      <c r="A10" s="450" t="str">
        <f>Datos!A10</f>
        <v>Jdos. Violencia contra la mujer</v>
      </c>
      <c r="B10" s="497">
        <f>IF(ISNUMBER(NºAsuntos!G10/NºAsuntos!E10),NºAsuntos!G10/NºAsuntos!E10," - ")</f>
        <v>0.86403508771929827</v>
      </c>
      <c r="C10" s="498">
        <f>IF(ISNUMBER(NºAsuntos!I10/NºAsuntos!G10),NºAsuntos!I10/NºAsuntos!G10," - ")</f>
        <v>0.80710659898477155</v>
      </c>
      <c r="D10" s="499">
        <f>IF(ISNUMBER('Resol  Asuntos'!D10/NºAsuntos!G10),'Resol  Asuntos'!D10/NºAsuntos!G10," - ")</f>
        <v>0.3604060913705584</v>
      </c>
      <c r="E10" s="500">
        <f>IF(ISNUMBER((NºAsuntos!C10+NºAsuntos!E10)/NºAsuntos!G10),(NºAsuntos!C10+NºAsuntos!E10)/NºAsuntos!G10," - ")</f>
        <v>1.8071065989847717</v>
      </c>
      <c r="G10" s="523"/>
    </row>
    <row r="11" spans="1:7">
      <c r="A11" s="450" t="str">
        <f>Datos!A11</f>
        <v xml:space="preserve">Jdos. Familia                                   </v>
      </c>
      <c r="B11" s="497">
        <f>IF(ISNUMBER(NºAsuntos!G11/NºAsuntos!E11),NºAsuntos!G11/NºAsuntos!E11," - ")</f>
        <v>1.0244210526315789</v>
      </c>
      <c r="C11" s="498">
        <f>IF(ISNUMBER(NºAsuntos!I11/NºAsuntos!G11),NºAsuntos!I11/NºAsuntos!G11," - ")</f>
        <v>0.36539251952322238</v>
      </c>
      <c r="D11" s="499">
        <f>IF(ISNUMBER('Resol  Asuntos'!D11/NºAsuntos!G11),'Resol  Asuntos'!D11/NºAsuntos!G11," - ")</f>
        <v>0.23592272914097823</v>
      </c>
      <c r="E11" s="500">
        <f>IF(ISNUMBER((NºAsuntos!C11+NºAsuntos!E11)/NºAsuntos!G11),(NºAsuntos!C11+NºAsuntos!E11)/NºAsuntos!G11," - ")</f>
        <v>1.7505137690094534</v>
      </c>
      <c r="G11" s="523"/>
    </row>
    <row r="12" spans="1:7">
      <c r="A12" s="450" t="str">
        <f>Datos!A12</f>
        <v xml:space="preserve">Jdos. 1ª Instª. e Instr.                        </v>
      </c>
      <c r="B12" s="497" t="str">
        <f>IF(ISNUMBER(NºAsuntos!G12/NºAsuntos!E12),NºAsuntos!G12/NºAsuntos!E12," - ")</f>
        <v xml:space="preserve"> - </v>
      </c>
      <c r="C12" s="498" t="str">
        <f>IF(ISNUMBER(NºAsuntos!I12/NºAsuntos!G12),NºAsuntos!I12/NºAsuntos!G12," - ")</f>
        <v xml:space="preserve"> - </v>
      </c>
      <c r="D12" s="499" t="str">
        <f>IF(ISNUMBER('Resol  Asuntos'!D12/NºAsuntos!G12),'Resol  Asuntos'!D12/NºAsuntos!G12," - ")</f>
        <v xml:space="preserve"> - </v>
      </c>
      <c r="E12" s="500" t="str">
        <f>IF(ISNUMBER((NºAsuntos!C12+NºAsuntos!E12)/NºAsuntos!G12),(NºAsuntos!C12+NºAsuntos!E12)/NºAsuntos!G12," - ")</f>
        <v xml:space="preserve"> - </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0.93097228068065663</v>
      </c>
      <c r="C14" s="1156">
        <f>IF(ISNUMBER(NºAsuntos!I14/NºAsuntos!G14),NºAsuntos!I14/NºAsuntos!G14," - ")</f>
        <v>0.51527481754182003</v>
      </c>
      <c r="D14" s="1157">
        <f>IF(ISNUMBER('Resol  Asuntos'!D14/NºAsuntos!G14),'Resol  Asuntos'!D14/NºAsuntos!G14," - ")</f>
        <v>0.23451527481754181</v>
      </c>
      <c r="E14" s="1158">
        <f>IF(ISNUMBER((NºAsuntos!C14+NºAsuntos!E14)/NºAsuntos!G14),(NºAsuntos!C14+NºAsuntos!E14)/NºAsuntos!G14," - ")</f>
        <v>1.5665568688238714</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f>IF(ISNUMBER(NºAsuntos!G16/NºAsuntos!E16),NºAsuntos!G16/NºAsuntos!E16," - ")</f>
        <v>0.96798240254185508</v>
      </c>
      <c r="C16" s="498">
        <f>IF(ISNUMBER(NºAsuntos!I16/NºAsuntos!G16),NºAsuntos!I16/NºAsuntos!G16," - ")</f>
        <v>0.33303875773260949</v>
      </c>
      <c r="D16" s="499">
        <f>IF(ISNUMBER('Resol  Asuntos'!D16/NºAsuntos!G16),'Resol  Asuntos'!D16/NºAsuntos!G16," - ")</f>
        <v>0.1411437949753819</v>
      </c>
      <c r="E16" s="500">
        <f>IF(ISNUMBER((NºAsuntos!C16+NºAsuntos!E16)/NºAsuntos!G16),(NºAsuntos!C16+NºAsuntos!E16)/NºAsuntos!G16," - ")</f>
        <v>1.3228127761646258</v>
      </c>
      <c r="G16" s="523"/>
    </row>
    <row r="17" spans="1:7">
      <c r="A17" s="450" t="str">
        <f>Datos!A17</f>
        <v xml:space="preserve">Jdos. 1ª Instª. e Instr.                        </v>
      </c>
      <c r="B17" s="497" t="str">
        <f>IF(ISNUMBER(NºAsuntos!G17/NºAsuntos!E17),NºAsuntos!G17/NºAsuntos!E17," - ")</f>
        <v xml:space="preserve"> - </v>
      </c>
      <c r="C17" s="498" t="str">
        <f>IF(ISNUMBER(NºAsuntos!I17/NºAsuntos!G17),NºAsuntos!I17/NºAsuntos!G17," - ")</f>
        <v xml:space="preserve"> - </v>
      </c>
      <c r="D17" s="499" t="str">
        <f>IF(ISNUMBER('Resol  Asuntos'!D17/NºAsuntos!G17),'Resol  Asuntos'!D17/NºAsuntos!G17," - ")</f>
        <v xml:space="preserve"> - </v>
      </c>
      <c r="E17" s="500" t="str">
        <f>IF(ISNUMBER((NºAsuntos!C17+NºAsuntos!E17)/NºAsuntos!G17),(NºAsuntos!C17+NºAsuntos!E17)/NºAsuntos!G17," - ")</f>
        <v xml:space="preserve"> - </v>
      </c>
      <c r="G17" s="523"/>
    </row>
    <row r="18" spans="1:7">
      <c r="A18" s="450" t="str">
        <f>Datos!A18</f>
        <v>Jdos. Violencia contra la mujer</v>
      </c>
      <c r="B18" s="497">
        <f>IF(ISNUMBER(NºAsuntos!G18/NºAsuntos!E18),NºAsuntos!G18/NºAsuntos!E18," - ")</f>
        <v>0.96326276463262761</v>
      </c>
      <c r="C18" s="498">
        <f>IF(ISNUMBER(NºAsuntos!I18/NºAsuntos!G18),NºAsuntos!I18/NºAsuntos!G18," - ")</f>
        <v>0.14544279250161604</v>
      </c>
      <c r="D18" s="499">
        <f>IF(ISNUMBER('Resol  Asuntos'!D18/NºAsuntos!G18),'Resol  Asuntos'!D18/NºAsuntos!G18," - ")</f>
        <v>0.17194570135746606</v>
      </c>
      <c r="E18" s="500">
        <f>IF(ISNUMBER((NºAsuntos!C18+NºAsuntos!E18)/NºAsuntos!G18),(NºAsuntos!C18+NºAsuntos!E18)/NºAsuntos!G18," - ")</f>
        <v>1.145442792501616</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0.96756064989984425</v>
      </c>
      <c r="C23" s="1156">
        <f>IF(ISNUMBER(NºAsuntos!I23/NºAsuntos!G23),NºAsuntos!I23/NºAsuntos!G23," - ")</f>
        <v>0.31634941629765945</v>
      </c>
      <c r="D23" s="1159">
        <f>IF(ISNUMBER('Resol  Asuntos'!D23/NºAsuntos!G23),'Resol  Asuntos'!D23/NºAsuntos!G23," - ")</f>
        <v>0.1438840646385646</v>
      </c>
      <c r="E23" s="1158">
        <f>IF(ISNUMBER((NºAsuntos!C23+NºAsuntos!E23)/NºAsuntos!G23),(NºAsuntos!C23+NºAsuntos!E23)/NºAsuntos!G23," - ")</f>
        <v>1.3070331818966012</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0.94997543565586795</v>
      </c>
      <c r="C31" s="1099">
        <f>IF(ISNUMBER(NºAsuntos!I31/NºAsuntos!G31),NºAsuntos!I31/NºAsuntos!G31," - ")</f>
        <v>0.41004502311998053</v>
      </c>
      <c r="D31" s="1100">
        <f>IF(ISNUMBER('Resol  Asuntos'!D31/NºAsuntos!G31),'Resol  Asuntos'!D31/NºAsuntos!G31," - ")</f>
        <v>0.1865721586760769</v>
      </c>
      <c r="E31" s="1101">
        <f>IF(ISNUMBER((NºAsuntos!C31+NºAsuntos!E31)/NºAsuntos!G31),(NºAsuntos!C31+NºAsuntos!E31)/NºAsuntos!G31," - ")</f>
        <v>1.4292711121927477</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14 abr.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Db7safZObXy96LcRZIY9Veo+ULv2vz3bfp2q6DzOzgoBxongTUAdRqHSZa11UDJEm/cdFy4KhXwHIUoAsn94Zg==" saltValue="Jr4HiquAQxtzJAzfjlRBmA=="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CATALUÑA</v>
      </c>
      <c r="G2" s="369"/>
      <c r="H2" s="368"/>
      <c r="I2" s="368"/>
      <c r="J2" s="368"/>
      <c r="K2" s="368"/>
      <c r="L2" s="368" t="str">
        <f>Criterios!A10 &amp;"  "&amp;Criterios!B10</f>
        <v>Provincias  LLEIDA</v>
      </c>
      <c r="N2" s="368" t="str">
        <f>Criterios!A11 &amp;"  "&amp;Criterios!B11</f>
        <v>Resumenes por Partidos Judiciales  LLEIDA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68" t="s">
        <v>461</v>
      </c>
      <c r="B5" s="297"/>
      <c r="C5" s="1671" t="str">
        <f>"Año:  " &amp;Criterios!B$5 &amp; "          Trimestre   " &amp;Criterios!D$5 &amp; " al " &amp;Criterios!D$6</f>
        <v>Año:  2022          Trimestre   1 al 4</v>
      </c>
      <c r="D5" s="1641" t="s">
        <v>487</v>
      </c>
      <c r="E5" s="1641" t="s">
        <v>410</v>
      </c>
      <c r="F5" s="1673" t="s">
        <v>523</v>
      </c>
      <c r="G5" s="1676" t="s">
        <v>173</v>
      </c>
      <c r="H5" s="1632" t="s">
        <v>217</v>
      </c>
      <c r="I5" s="1632" t="s">
        <v>221</v>
      </c>
      <c r="J5" s="1632" t="s">
        <v>222</v>
      </c>
      <c r="K5" s="1632" t="s">
        <v>524</v>
      </c>
      <c r="L5" s="1632" t="s">
        <v>780</v>
      </c>
      <c r="M5" s="1632" t="s">
        <v>416</v>
      </c>
      <c r="N5" s="1632" t="s">
        <v>488</v>
      </c>
      <c r="O5" s="1632" t="s">
        <v>526</v>
      </c>
      <c r="P5" s="1632" t="s">
        <v>220</v>
      </c>
      <c r="Q5" s="1632" t="s">
        <v>59</v>
      </c>
      <c r="R5" s="1647" t="s">
        <v>223</v>
      </c>
      <c r="S5" s="1650" t="s">
        <v>226</v>
      </c>
      <c r="T5" s="1638" t="s">
        <v>227</v>
      </c>
      <c r="U5" s="1635" t="s">
        <v>228</v>
      </c>
      <c r="V5" s="1662" t="s">
        <v>414</v>
      </c>
      <c r="W5" s="1679" t="s">
        <v>229</v>
      </c>
      <c r="X5" s="1682" t="s">
        <v>230</v>
      </c>
      <c r="Y5" s="1682" t="s">
        <v>231</v>
      </c>
      <c r="Z5" s="1665" t="s">
        <v>232</v>
      </c>
      <c r="AA5" s="1653" t="s">
        <v>233</v>
      </c>
      <c r="AB5" s="1632" t="s">
        <v>234</v>
      </c>
      <c r="AC5" s="1632" t="s">
        <v>235</v>
      </c>
      <c r="AD5" s="1685" t="s">
        <v>236</v>
      </c>
      <c r="AE5" s="1641" t="s">
        <v>239</v>
      </c>
      <c r="AF5" s="1656" t="s">
        <v>237</v>
      </c>
      <c r="AG5" s="1632" t="s">
        <v>238</v>
      </c>
      <c r="AH5" s="1647" t="s">
        <v>257</v>
      </c>
      <c r="AI5" s="1653" t="s">
        <v>240</v>
      </c>
      <c r="AJ5" s="1659" t="s">
        <v>318</v>
      </c>
      <c r="AK5" s="1644" t="s">
        <v>319</v>
      </c>
      <c r="AL5" s="1641" t="s">
        <v>320</v>
      </c>
      <c r="AM5" s="1641" t="s">
        <v>469</v>
      </c>
      <c r="AN5" s="1641" t="s">
        <v>321</v>
      </c>
      <c r="AO5" s="1641" t="s">
        <v>322</v>
      </c>
      <c r="AP5" s="1641" t="s">
        <v>383</v>
      </c>
      <c r="AQ5" s="1641" t="s">
        <v>241</v>
      </c>
      <c r="AR5" s="1641" t="s">
        <v>242</v>
      </c>
      <c r="AS5" s="1641" t="s">
        <v>499</v>
      </c>
      <c r="AT5" s="1641" t="s">
        <v>372</v>
      </c>
      <c r="AU5" s="1641" t="s">
        <v>373</v>
      </c>
      <c r="AV5" s="1641" t="s">
        <v>432</v>
      </c>
      <c r="AW5" s="1641" t="s">
        <v>1120</v>
      </c>
      <c r="AX5" s="1641" t="s">
        <v>415</v>
      </c>
      <c r="AY5" s="1641" t="s">
        <v>1003</v>
      </c>
      <c r="AZ5" s="1641" t="s">
        <v>1004</v>
      </c>
      <c r="BF5" s="1630" t="s">
        <v>258</v>
      </c>
      <c r="BG5" s="1631"/>
      <c r="BH5" s="1630" t="s">
        <v>259</v>
      </c>
      <c r="BI5" s="1631"/>
      <c r="BJ5" s="1630" t="s">
        <v>260</v>
      </c>
      <c r="BK5" s="1631"/>
      <c r="BL5" s="1630" t="s">
        <v>261</v>
      </c>
      <c r="BM5" s="1631"/>
    </row>
    <row r="6" spans="1:65" ht="21.75" customHeight="1">
      <c r="A6" s="1669"/>
      <c r="B6" s="298"/>
      <c r="C6" s="1672"/>
      <c r="D6" s="1642"/>
      <c r="E6" s="1642"/>
      <c r="F6" s="1674"/>
      <c r="G6" s="1677"/>
      <c r="H6" s="1633"/>
      <c r="I6" s="1633"/>
      <c r="J6" s="1633"/>
      <c r="K6" s="1633"/>
      <c r="L6" s="1633"/>
      <c r="M6" s="1633"/>
      <c r="N6" s="1633"/>
      <c r="O6" s="1633"/>
      <c r="P6" s="1633"/>
      <c r="Q6" s="1633"/>
      <c r="R6" s="1648"/>
      <c r="S6" s="1651"/>
      <c r="T6" s="1639"/>
      <c r="U6" s="1636"/>
      <c r="V6" s="1663"/>
      <c r="W6" s="1680"/>
      <c r="X6" s="1683"/>
      <c r="Y6" s="1683"/>
      <c r="Z6" s="1666"/>
      <c r="AA6" s="1654"/>
      <c r="AB6" s="1633"/>
      <c r="AC6" s="1633"/>
      <c r="AD6" s="1686"/>
      <c r="AE6" s="1642"/>
      <c r="AF6" s="1657"/>
      <c r="AG6" s="1633"/>
      <c r="AH6" s="1648"/>
      <c r="AI6" s="1654"/>
      <c r="AJ6" s="1660"/>
      <c r="AK6" s="1645"/>
      <c r="AL6" s="1642"/>
      <c r="AM6" s="1642"/>
      <c r="AN6" s="1642"/>
      <c r="AO6" s="1642"/>
      <c r="AP6" s="1642"/>
      <c r="AQ6" s="1642"/>
      <c r="AR6" s="1642"/>
      <c r="AS6" s="1642"/>
      <c r="AT6" s="1642"/>
      <c r="AU6" s="1642"/>
      <c r="AV6" s="1642"/>
      <c r="AW6" s="1642"/>
      <c r="AX6" s="1642"/>
      <c r="AY6" s="1642"/>
      <c r="AZ6" s="1642"/>
      <c r="BF6" s="1628" t="s">
        <v>218</v>
      </c>
      <c r="BG6" s="1628" t="s">
        <v>219</v>
      </c>
      <c r="BH6" s="1628" t="s">
        <v>218</v>
      </c>
      <c r="BI6" s="1628" t="s">
        <v>219</v>
      </c>
      <c r="BJ6" s="1628" t="s">
        <v>218</v>
      </c>
      <c r="BK6" s="1628" t="s">
        <v>219</v>
      </c>
      <c r="BL6" s="1628" t="s">
        <v>218</v>
      </c>
      <c r="BM6" s="1628" t="s">
        <v>219</v>
      </c>
    </row>
    <row r="7" spans="1:65" ht="38.25" customHeight="1" thickBot="1">
      <c r="A7" s="1670"/>
      <c r="B7" s="299"/>
      <c r="C7" s="288" t="str">
        <f>Datos!A7</f>
        <v>COMPETENCIAS</v>
      </c>
      <c r="D7" s="1643"/>
      <c r="E7" s="1643"/>
      <c r="F7" s="1675"/>
      <c r="G7" s="1678"/>
      <c r="H7" s="1634"/>
      <c r="I7" s="1634"/>
      <c r="J7" s="1634"/>
      <c r="K7" s="1634"/>
      <c r="L7" s="1634"/>
      <c r="M7" s="1634"/>
      <c r="N7" s="1634"/>
      <c r="O7" s="1634"/>
      <c r="P7" s="1634"/>
      <c r="Q7" s="1634"/>
      <c r="R7" s="1649"/>
      <c r="S7" s="1652"/>
      <c r="T7" s="1640"/>
      <c r="U7" s="1637"/>
      <c r="V7" s="1664"/>
      <c r="W7" s="1681"/>
      <c r="X7" s="1684"/>
      <c r="Y7" s="1684"/>
      <c r="Z7" s="1667"/>
      <c r="AA7" s="1655"/>
      <c r="AB7" s="1634"/>
      <c r="AC7" s="1634"/>
      <c r="AD7" s="1687"/>
      <c r="AE7" s="1643"/>
      <c r="AF7" s="1658"/>
      <c r="AG7" s="1634"/>
      <c r="AH7" s="1649"/>
      <c r="AI7" s="1655"/>
      <c r="AJ7" s="1661"/>
      <c r="AK7" s="1646"/>
      <c r="AL7" s="1643"/>
      <c r="AM7" s="1643"/>
      <c r="AN7" s="1643"/>
      <c r="AO7" s="1643"/>
      <c r="AP7" s="1643"/>
      <c r="AQ7" s="1643"/>
      <c r="AR7" s="1643"/>
      <c r="AS7" s="1643"/>
      <c r="AT7" s="1643"/>
      <c r="AU7" s="1643"/>
      <c r="AV7" s="1643"/>
      <c r="AW7" s="1643"/>
      <c r="AX7" s="1643"/>
      <c r="AY7" s="1643"/>
      <c r="AZ7" s="1643"/>
      <c r="BF7" s="1629"/>
      <c r="BG7" s="1629"/>
      <c r="BH7" s="1629"/>
      <c r="BI7" s="1629"/>
      <c r="BJ7" s="1629"/>
      <c r="BK7" s="1629"/>
      <c r="BL7" s="1629"/>
      <c r="BM7" s="1629"/>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7</v>
      </c>
      <c r="B9" s="190" t="s">
        <v>317</v>
      </c>
      <c r="C9" s="173" t="str">
        <f>Datos!A9</f>
        <v xml:space="preserve">Jdos. 1ª Instancia   </v>
      </c>
      <c r="D9" s="173"/>
      <c r="E9" s="1402">
        <f>IF(ISNUMBER(Datos!AQ9),Datos!AQ9," - ")</f>
        <v>7</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3028</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f>IF(ISNUMBER(Datos!Q9),Datos!Q9," - ")</f>
        <v>4306</v>
      </c>
      <c r="Y9" s="374">
        <f>SUM(W9:X9)</f>
        <v>4306</v>
      </c>
      <c r="Z9" s="375" t="str">
        <f>IF(ISNUMBER(Datos!CC9),Datos!CC9," - ")</f>
        <v xml:space="preserve"> - </v>
      </c>
      <c r="AA9" s="372" t="str">
        <f>IF(ISNUMBER(IF(J_V="SI",Datos!L9,Datos!L9+Datos!AB9)-IF(Monitorios="SI",Datos!CD9,0)),
                          IF(J_V="SI",Datos!L9,Datos!L9+Datos!AB9)-IF(Monitorios="SI",Datos!CD9,0),
                          " - ")</f>
        <v xml:space="preserve"> - </v>
      </c>
      <c r="AB9" s="374">
        <f>IF(ISNUMBER(Datos!R9),Datos!R9," - ")</f>
        <v>11202</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f>IF(ISNUMBER(Datos!M9),Datos!M9," - ")</f>
        <v>2986</v>
      </c>
      <c r="AJ9" s="243" t="str">
        <f>IF(ISNUMBER(Datos!BW9),Datos!BW9," - ")</f>
        <v xml:space="preserve"> - </v>
      </c>
      <c r="AK9" s="242" t="str">
        <f>IF(ISNUMBER(Datos!BX9),Datos!BX9," - ")</f>
        <v xml:space="preserve"> - </v>
      </c>
      <c r="AL9" s="266">
        <f>IF(ISNUMBER(NºAsuntos!G9/NºAsuntos!E9),NºAsuntos!G9/NºAsuntos!E9," - ")</f>
        <v>0.91623895067008843</v>
      </c>
      <c r="AM9" s="284">
        <f>IF(ISNUMBER(((NºAsuntos!I9/NºAsuntos!G9)*11)/factor_trimestre),((NºAsuntos!I9/NºAsuntos!G9)*11)/factor_trimestre," - ")</f>
        <v>5.930055240021785</v>
      </c>
      <c r="AN9" s="267">
        <f>IF(ISNUMBER('Resol  Asuntos'!D9/NºAsuntos!G9),'Resol  Asuntos'!D9/NºAsuntos!G9," - ")</f>
        <v>0.23231930288648564</v>
      </c>
      <c r="AO9" s="268">
        <f>IF(ISNUMBER((NºAsuntos!C9+NºAsuntos!E9)/NºAsuntos!G9),(NºAsuntos!C9+NºAsuntos!E9)/NºAsuntos!G9," - ")</f>
        <v>1.5279701237065277</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317</v>
      </c>
      <c r="C10" s="7" t="str">
        <f>Datos!A10</f>
        <v>Jdos. Violencia contra la mujer</v>
      </c>
      <c r="D10" s="7"/>
      <c r="E10" s="1402">
        <f>IF(ISNUMBER(Datos!AQ10),Datos!AQ10," - ")</f>
        <v>1</v>
      </c>
      <c r="F10" s="239">
        <f>IF(ISNUMBER(Datos!L10+Datos!K10-Datos!J10-K10),Datos!L10+Datos!K10-Datos!J10-K10," - ")</f>
        <v>128</v>
      </c>
      <c r="G10" s="373">
        <f>IF(ISNUMBER(Datos!I10),Datos!I10," - ")</f>
        <v>128</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34</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197</v>
      </c>
      <c r="X10" s="240">
        <f>IF(ISNUMBER(Datos!Q10),Datos!Q10," - ")</f>
        <v>39</v>
      </c>
      <c r="Y10" s="374">
        <f t="shared" ref="Y10:Y13" si="0">SUM(W10:X10)</f>
        <v>236</v>
      </c>
      <c r="Z10" s="375" t="str">
        <f>IF(ISNUMBER(Datos!CC10),Datos!CC10," - ")</f>
        <v xml:space="preserve"> - </v>
      </c>
      <c r="AA10" s="372">
        <f>IF(ISNUMBER(Datos!L10),Datos!L10,"-")</f>
        <v>159</v>
      </c>
      <c r="AB10" s="374">
        <f>IF(ISNUMBER(Datos!R10),Datos!R10," - ")</f>
        <v>116</v>
      </c>
      <c r="AC10" s="374">
        <f t="shared" ref="AC10:AC13" si="1">IF(ISNUMBER(AA10+AB10),AA10+AB10," - ")</f>
        <v>275</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71</v>
      </c>
      <c r="AJ10" s="245" t="str">
        <f>IF(ISNUMBER(Datos!BW10),Datos!BW10," - ")</f>
        <v xml:space="preserve"> - </v>
      </c>
      <c r="AK10" s="246" t="str">
        <f>IF(ISNUMBER(Datos!BX10),Datos!BX10," - ")</f>
        <v xml:space="preserve"> - </v>
      </c>
      <c r="AL10" s="266">
        <f>IF(ISNUMBER(NºAsuntos!G10/NºAsuntos!E10),NºAsuntos!G10/NºAsuntos!E10," - ")</f>
        <v>0.86403508771929827</v>
      </c>
      <c r="AM10" s="284">
        <f>IF(ISNUMBER(((NºAsuntos!I10/NºAsuntos!G10)*11)/factor_trimestre),((NºAsuntos!I10/NºAsuntos!G10)*11)/factor_trimestre," - ")</f>
        <v>8.8781725888324878</v>
      </c>
      <c r="AN10" s="267">
        <f>IF(ISNUMBER('Resol  Asuntos'!D10/NºAsuntos!G10),'Resol  Asuntos'!D10/NºAsuntos!G10," - ")</f>
        <v>0.3604060913705584</v>
      </c>
      <c r="AO10" s="268">
        <f>IF(ISNUMBER((NºAsuntos!C10+NºAsuntos!E10)/NºAsuntos!G10),(NºAsuntos!C10+NºAsuntos!E10)/NºAsuntos!G10," - ")</f>
        <v>1.8071065989847717</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2</v>
      </c>
      <c r="B11" s="300" t="s">
        <v>317</v>
      </c>
      <c r="C11" s="7" t="str">
        <f>Datos!A11</f>
        <v xml:space="preserve">Jdos. Familia                                   </v>
      </c>
      <c r="D11" s="7"/>
      <c r="E11" s="1402">
        <f>IF(ISNUMBER(Datos!AQ11),Datos!AQ11," - ")</f>
        <v>2</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237</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f>IF(ISNUMBER(Datos!Q11),Datos!Q11," - ")</f>
        <v>195</v>
      </c>
      <c r="Y11" s="374">
        <f t="shared" si="0"/>
        <v>195</v>
      </c>
      <c r="Z11" s="375" t="str">
        <f>IF(ISNUMBER(Datos!CC11),Datos!CC11," - ")</f>
        <v xml:space="preserve"> - </v>
      </c>
      <c r="AA11" s="372" t="str">
        <f>IF(ISNUMBER(IF(J_V="SI",Datos!L11,Datos!L11+Datos!AB11)-IF(Monitorios="SI",Datos!CD11,0)),
                          IF(J_V="SI",Datos!L11,Datos!L11+Datos!AB11)-IF(Monitorios="SI",Datos!CD11,0),
                          " - ")</f>
        <v xml:space="preserve"> - </v>
      </c>
      <c r="AB11" s="374">
        <f>IF(ISNUMBER(Datos!R11),Datos!R11," - ")</f>
        <v>776</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f>IF(ISNUMBER(Datos!M11),Datos!M11," - ")</f>
        <v>574</v>
      </c>
      <c r="AJ11" s="245" t="str">
        <f>IF(ISNUMBER(Datos!BW11),Datos!BW11," - ")</f>
        <v xml:space="preserve"> - </v>
      </c>
      <c r="AK11" s="246" t="str">
        <f>IF(ISNUMBER(Datos!BX11),Datos!BX11," - ")</f>
        <v xml:space="preserve"> - </v>
      </c>
      <c r="AL11" s="266">
        <f>IF(ISNUMBER(NºAsuntos!G11/NºAsuntos!E11),NºAsuntos!G11/NºAsuntos!E11," - ")</f>
        <v>1.0244210526315789</v>
      </c>
      <c r="AM11" s="284">
        <f>IF(ISNUMBER(((NºAsuntos!I11/NºAsuntos!G11)*11)/factor_trimestre),((NºAsuntos!I11/NºAsuntos!G11)*11)/factor_trimestre," - ")</f>
        <v>4.019317714755446</v>
      </c>
      <c r="AN11" s="267">
        <f>IF(ISNUMBER('Resol  Asuntos'!D11/NºAsuntos!G11),'Resol  Asuntos'!D11/NºAsuntos!G11," - ")</f>
        <v>0.23592272914097823</v>
      </c>
      <c r="AO11" s="268">
        <f>IF(ISNUMBER((NºAsuntos!C11+NºAsuntos!E11)/NºAsuntos!G11),(NºAsuntos!C11+NºAsuntos!E11)/NºAsuntos!G11," - ")</f>
        <v>1.7505137690094534</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0</v>
      </c>
      <c r="B12" s="300" t="s">
        <v>317</v>
      </c>
      <c r="C12" s="7" t="str">
        <f>Datos!A12</f>
        <v xml:space="preserve">Jdos. 1ª Instª. e Instr.                        </v>
      </c>
      <c r="D12" s="7"/>
      <c r="E12" s="1402">
        <f>IF(ISNUMBER(Datos!AQ12),Datos!AQ12," - ")</f>
        <v>0</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18</v>
      </c>
      <c r="Y12" s="374">
        <f t="shared" si="0"/>
        <v>18</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260</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0</v>
      </c>
      <c r="AJ12" s="243" t="str">
        <f>IF(ISNUMBER(Datos!BW12),Datos!BW12," - ")</f>
        <v xml:space="preserve"> - </v>
      </c>
      <c r="AK12" s="242" t="str">
        <f>IF(ISNUMBER(Datos!BX12),Datos!BX12," - ")</f>
        <v xml:space="preserve"> - </v>
      </c>
      <c r="AL12" s="266" t="str">
        <f>IF(ISNUMBER(NºAsuntos!G12/NºAsuntos!E12),NºAsuntos!G12/NºAsuntos!E12," - ")</f>
        <v xml:space="preserve"> - </v>
      </c>
      <c r="AM12" s="284" t="str">
        <f>IF(ISNUMBER(((NºAsuntos!I12/NºAsuntos!G12)*11)/factor_trimestre),((NºAsuntos!I12/NºAsuntos!G12)*11)/factor_trimestre," - ")</f>
        <v xml:space="preserve"> - </v>
      </c>
      <c r="AN12" s="267" t="str">
        <f>IF(ISNUMBER('Resol  Asuntos'!D12/NºAsuntos!G12),'Resol  Asuntos'!D12/NºAsuntos!G12," - ")</f>
        <v xml:space="preserve"> - </v>
      </c>
      <c r="AO12" s="268" t="str">
        <f>IF(ISNUMBER((NºAsuntos!C12+NºAsuntos!E12)/NºAsuntos!G12),(NºAsuntos!C12+NºAsuntos!E12)/NºAsuntos!G12," - ")</f>
        <v xml:space="preserve"> - </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317</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10</v>
      </c>
      <c r="F14" s="1162">
        <f t="shared" si="5"/>
        <v>128</v>
      </c>
      <c r="G14" s="1163">
        <f t="shared" si="5"/>
        <v>128</v>
      </c>
      <c r="H14" s="1162">
        <f t="shared" si="5"/>
        <v>0</v>
      </c>
      <c r="I14" s="1164">
        <f t="shared" si="5"/>
        <v>0</v>
      </c>
      <c r="J14" s="1164">
        <f t="shared" si="5"/>
        <v>0</v>
      </c>
      <c r="K14" s="1164">
        <f t="shared" si="5"/>
        <v>0</v>
      </c>
      <c r="L14" s="1164">
        <f t="shared" si="5"/>
        <v>3299</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197</v>
      </c>
      <c r="X14" s="1164">
        <f t="shared" si="6"/>
        <v>4558</v>
      </c>
      <c r="Y14" s="1165">
        <f t="shared" si="6"/>
        <v>4755</v>
      </c>
      <c r="Z14" s="1165">
        <f t="shared" si="6"/>
        <v>0</v>
      </c>
      <c r="AA14" s="1165">
        <f t="shared" si="6"/>
        <v>159</v>
      </c>
      <c r="AB14" s="1165">
        <f t="shared" si="6"/>
        <v>12354</v>
      </c>
      <c r="AC14" s="1165">
        <f t="shared" si="6"/>
        <v>275</v>
      </c>
      <c r="AD14" s="1165">
        <f t="shared" si="6"/>
        <v>0</v>
      </c>
      <c r="AE14" s="1169">
        <f t="shared" si="6"/>
        <v>0</v>
      </c>
      <c r="AF14" s="1162">
        <f t="shared" si="6"/>
        <v>0</v>
      </c>
      <c r="AG14" s="1170">
        <f t="shared" si="6"/>
        <v>0</v>
      </c>
      <c r="AH14" s="1167">
        <f t="shared" si="6"/>
        <v>0</v>
      </c>
      <c r="AI14" s="1162">
        <f t="shared" si="6"/>
        <v>3631</v>
      </c>
      <c r="AJ14" s="1164">
        <f t="shared" si="6"/>
        <v>0</v>
      </c>
      <c r="AK14" s="1167">
        <f>SUBTOTAL(9,AK9:AK13)</f>
        <v>0</v>
      </c>
      <c r="AL14" s="1171">
        <f>IF(ISNUMBER(NºAsuntos!G14/NºAsuntos!E14),NºAsuntos!G14/NºAsuntos!E14," - ")</f>
        <v>0.93097228068065663</v>
      </c>
      <c r="AM14" s="1171">
        <f>IF(ISNUMBER(((NºAsuntos!I14/NºAsuntos!G14)*11)/factor_trimestre),((NºAsuntos!I14/NºAsuntos!G14)*11)/factor_trimestre," - ")</f>
        <v>5.6680229929600205</v>
      </c>
      <c r="AN14" s="1172">
        <f>IF(ISNUMBER('Resol  Asuntos'!D14/NºAsuntos!G14),'Resol  Asuntos'!D14/NºAsuntos!G14," - ")</f>
        <v>0.23451527481754181</v>
      </c>
      <c r="AO14" s="1173">
        <f>IF(ISNUMBER((NºAsuntos!C14+NºAsuntos!E14)/NºAsuntos!G14),(NºAsuntos!C14+NºAsuntos!E14)/NºAsuntos!G14," - ")</f>
        <v>1.5665568688238714</v>
      </c>
      <c r="AP14" s="1174" t="str">
        <f t="shared" si="2"/>
        <v xml:space="preserve"> - </v>
      </c>
      <c r="AQ14" s="1174">
        <f>IF(ISNUMBER((H14-W14+K14)/(F14)),(H14-W14+K14)/(F14)," - ")</f>
        <v>-1.5390625</v>
      </c>
      <c r="AR14" s="1175">
        <f>IF(ISNUMBER((Datos!P14-Datos!Q14)/(Datos!R14-Datos!P14+Datos!Q14)),(Datos!P14-Datos!Q14)/(Datos!R14-Datos!P14+Datos!Q14)," - ")</f>
        <v>-9.248512451333285E-2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4</v>
      </c>
      <c r="B16" s="300" t="s">
        <v>507</v>
      </c>
      <c r="C16" s="173" t="str">
        <f>Datos!A16</f>
        <v xml:space="preserve">Jdos. Instrucción                               </v>
      </c>
      <c r="D16" s="173"/>
      <c r="E16" s="1402">
        <f>IF(ISNUMBER(Datos!AQ16),Datos!AQ16," - ")</f>
        <v>4</v>
      </c>
      <c r="F16" s="239">
        <f>IF(ISNUMBER(AA16+W16-Datos!J16-K16),AA16+W16-Datos!J16-K16," - ")</f>
        <v>4752</v>
      </c>
      <c r="G16" s="373">
        <f>IF(ISNUMBER(IF(D_I="SI",Datos!I16,Datos!I16+Datos!AC16)),IF(D_I="SI",Datos!I16,Datos!I16+Datos!AC16)," - ")</f>
        <v>4590</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574</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f>IF(ISNUMBER(IF(D_I="SI",Datos!K16,Datos!K16+Datos!AE16)),IF(D_I="SI",Datos!K16,Datos!K16+Datos!AE16)," - ")</f>
        <v>15842</v>
      </c>
      <c r="X16" s="240">
        <f>IF(ISNUMBER(Datos!Q16),Datos!Q16," - ")</f>
        <v>482</v>
      </c>
      <c r="Y16" s="374">
        <f>SUM(W16)</f>
        <v>15842</v>
      </c>
      <c r="Z16" s="375" t="str">
        <f>IF(ISNUMBER(Datos!CC16),Datos!CC16," - ")</f>
        <v xml:space="preserve"> - </v>
      </c>
      <c r="AA16" s="372">
        <f>IF(ISNUMBER(IF(D_I="SI",Datos!L16,Datos!L16+Datos!AF16)),IF(D_I="SI",Datos!L16,Datos!L16+Datos!AF16)," - ")</f>
        <v>5276</v>
      </c>
      <c r="AB16" s="374">
        <f>IF(ISNUMBER(Datos!R16),Datos!R16," - ")</f>
        <v>557</v>
      </c>
      <c r="AC16" s="374">
        <f t="shared" ref="AC16:AC22" si="8">IF(ISNUMBER(AA16+AB16),AA16+AB16," - ")</f>
        <v>5833</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f>IF(ISNUMBER(Datos!M16),Datos!M16," - ")</f>
        <v>2236</v>
      </c>
      <c r="AJ16" s="245" t="str">
        <f>IF(ISNUMBER(Datos!BW16),Datos!BW16," - ")</f>
        <v xml:space="preserve"> - </v>
      </c>
      <c r="AK16" s="246" t="str">
        <f>IF(ISNUMBER(Datos!BX16),Datos!BX16," - ")</f>
        <v xml:space="preserve"> - </v>
      </c>
      <c r="AL16" s="266">
        <f>IF(ISNUMBER(NºAsuntos!G16/NºAsuntos!E16),NºAsuntos!G16/NºAsuntos!E16," - ")</f>
        <v>0.96798240254185508</v>
      </c>
      <c r="AM16" s="284">
        <f>IF(ISNUMBER(((NºAsuntos!I16/NºAsuntos!G16)*11)/factor_trimestre),((NºAsuntos!I16/NºAsuntos!G16)*11)/factor_trimestre," - ")</f>
        <v>3.6634263350587046</v>
      </c>
      <c r="AN16" s="267">
        <f>IF(ISNUMBER('Resol  Asuntos'!D16/NºAsuntos!G16),'Resol  Asuntos'!D16/NºAsuntos!G16," - ")</f>
        <v>0.1411437949753819</v>
      </c>
      <c r="AO16" s="268">
        <f>IF(ISNUMBER((NºAsuntos!C16+NºAsuntos!E16)/NºAsuntos!G16),(NºAsuntos!C16+NºAsuntos!E16)/NºAsuntos!G16," - ")</f>
        <v>1.3228127761646258</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0</v>
      </c>
      <c r="B17" s="300" t="s">
        <v>507</v>
      </c>
      <c r="C17" s="173" t="str">
        <f>Datos!A17</f>
        <v xml:space="preserve">Jdos. 1ª Instª. e Instr.                        </v>
      </c>
      <c r="D17" s="173"/>
      <c r="E17" s="1402">
        <f>IF(ISNUMBER(Datos!AQ17),Datos!AQ17," - ")</f>
        <v>0</v>
      </c>
      <c r="F17" s="239" t="str">
        <f>IF(ISNUMBER(AA17+W17-Datos!J17-K17),AA17+W17-Datos!J17-K17," - ")</f>
        <v xml:space="preserve"> - </v>
      </c>
      <c r="G17" s="373" t="str">
        <f>IF(ISNUMBER(IF(D_I="SI",Datos!I17,Datos!I17+Datos!AC17)),IF(D_I="SI",Datos!I17,Datos!I17+Datos!AC17)," - ")</f>
        <v xml:space="preserve"> - </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0</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t="str">
        <f>IF(ISNUMBER(IF(D_I="SI",Datos!K17,Datos!K17+Datos!AE17)),IF(D_I="SI",Datos!K17,Datos!K17+Datos!AE17)," - ")</f>
        <v xml:space="preserve"> - </v>
      </c>
      <c r="X17" s="240" t="str">
        <f>IF(ISNUMBER(Datos!Q17),Datos!Q17," - ")</f>
        <v xml:space="preserve"> - </v>
      </c>
      <c r="Y17" s="374">
        <f t="shared" ref="Y17:Y22" si="9">SUM(W17:X17)</f>
        <v>0</v>
      </c>
      <c r="Z17" s="375" t="str">
        <f>IF(ISNUMBER(Datos!CC17),Datos!CC17," - ")</f>
        <v xml:space="preserve"> - </v>
      </c>
      <c r="AA17" s="372" t="str">
        <f>IF(ISNUMBER(IF(D_I="SI",Datos!L17,Datos!L17+Datos!AF17)),IF(D_I="SI",Datos!L17,Datos!L17+Datos!AF17)," - ")</f>
        <v xml:space="preserve"> - </v>
      </c>
      <c r="AB17" s="374" t="str">
        <f>IF(ISNUMBER(Datos!R17),Datos!R17," - ")</f>
        <v xml:space="preserve"> - </v>
      </c>
      <c r="AC17" s="374" t="str">
        <f t="shared" si="8"/>
        <v xml:space="preserve"> - </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t="str">
        <f>IF(ISNUMBER(Datos!M17),Datos!M17," - ")</f>
        <v xml:space="preserve"> - </v>
      </c>
      <c r="AJ17" s="245" t="str">
        <f>IF(ISNUMBER(Datos!BW17),Datos!BW17," - ")</f>
        <v xml:space="preserve"> - </v>
      </c>
      <c r="AK17" s="246" t="str">
        <f>IF(ISNUMBER(Datos!BX17),Datos!BX17," - ")</f>
        <v xml:space="preserve"> - </v>
      </c>
      <c r="AL17" s="266" t="str">
        <f>IF(ISNUMBER(NºAsuntos!G17/NºAsuntos!E17),NºAsuntos!G17/NºAsuntos!E17," - ")</f>
        <v xml:space="preserve"> - </v>
      </c>
      <c r="AM17" s="284" t="str">
        <f>IF(ISNUMBER(((NºAsuntos!I17/NºAsuntos!G17)*11)/factor_trimestre),((NºAsuntos!I17/NºAsuntos!G17)*11)/factor_trimestre," - ")</f>
        <v xml:space="preserve"> - </v>
      </c>
      <c r="AN17" s="267" t="str">
        <f>IF(ISNUMBER('Resol  Asuntos'!D17/NºAsuntos!G17),'Resol  Asuntos'!D17/NºAsuntos!G17," - ")</f>
        <v xml:space="preserve"> - </v>
      </c>
      <c r="AO17" s="268" t="str">
        <f>IF(ISNUMBER((NºAsuntos!C17+NºAsuntos!E17)/NºAsuntos!G17),(NºAsuntos!C17+NºAsuntos!E17)/NºAsuntos!G17," - ")</f>
        <v xml:space="preserve"> - </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507</v>
      </c>
      <c r="C18" s="7" t="str">
        <f>Datos!A18</f>
        <v>Jdos. Violencia contra la mujer</v>
      </c>
      <c r="D18" s="7"/>
      <c r="E18" s="1402">
        <f>IF(ISNUMBER(Datos!AQ18),Datos!AQ18," - ")</f>
        <v>1</v>
      </c>
      <c r="F18" s="239" t="str">
        <f>IF(ISNUMBER(AA18+W18-H18-K18),AA18+W18-H18-K18," - ")</f>
        <v xml:space="preserve"> - </v>
      </c>
      <c r="G18" s="373">
        <f>IF(ISNUMBER(IF(D_I="SI",Datos!I18,Datos!I18+Datos!AC18)),IF(D_I="SI",Datos!I18,Datos!I18+Datos!AC18)," - ")</f>
        <v>166</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21</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1547</v>
      </c>
      <c r="X18" s="240">
        <f>IF(ISNUMBER(Datos!Q18),Datos!Q18," - ")</f>
        <v>40</v>
      </c>
      <c r="Y18" s="374">
        <f t="shared" si="9"/>
        <v>1587</v>
      </c>
      <c r="Z18" s="375" t="str">
        <f>IF(ISNUMBER(Datos!CC18),Datos!CC18," - ")</f>
        <v xml:space="preserve"> - </v>
      </c>
      <c r="AA18" s="372">
        <f>IF(ISNUMBER(Datos!L18),Datos!L18,"-")</f>
        <v>225</v>
      </c>
      <c r="AB18" s="374">
        <f>IF(ISNUMBER(Datos!R18),Datos!R18," - ")</f>
        <v>0</v>
      </c>
      <c r="AC18" s="374">
        <f t="shared" si="8"/>
        <v>225</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266</v>
      </c>
      <c r="AJ18" s="245" t="str">
        <f>IF(ISNUMBER(Datos!BW18),Datos!BW18," - ")</f>
        <v xml:space="preserve"> - </v>
      </c>
      <c r="AK18" s="246" t="str">
        <f>IF(ISNUMBER(Datos!BX18),Datos!BX18," - ")</f>
        <v xml:space="preserve"> - </v>
      </c>
      <c r="AL18" s="266">
        <f>IF(ISNUMBER(NºAsuntos!G18/NºAsuntos!E18),NºAsuntos!G18/NºAsuntos!E18," - ")</f>
        <v>0.96326276463262761</v>
      </c>
      <c r="AM18" s="284">
        <f>IF(ISNUMBER(((NºAsuntos!I18/NºAsuntos!G18)*11)/factor_trimestre),((NºAsuntos!I18/NºAsuntos!G18)*11)/factor_trimestre," - ")</f>
        <v>1.5998707175177764</v>
      </c>
      <c r="AN18" s="267">
        <f>IF(ISNUMBER('Resol  Asuntos'!D18/NºAsuntos!G18),'Resol  Asuntos'!D18/NºAsuntos!G18," - ")</f>
        <v>0.17194570135746606</v>
      </c>
      <c r="AO18" s="268">
        <f>IF(ISNUMBER((NºAsuntos!C18+NºAsuntos!E18)/NºAsuntos!G18),(NºAsuntos!C18+NºAsuntos!E18)/NºAsuntos!G18," - ")</f>
        <v>1.145442792501616</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507</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507</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507</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507</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5</v>
      </c>
      <c r="F23" s="1162">
        <f>SUBTOTAL(9,F15:F22)</f>
        <v>4752</v>
      </c>
      <c r="G23" s="1163">
        <f>SUBTOTAL(9,G16:G22)</f>
        <v>4756</v>
      </c>
      <c r="H23" s="1162">
        <f t="shared" ref="H23:O23" si="13">SUBTOTAL(9,H15:H22)</f>
        <v>0</v>
      </c>
      <c r="I23" s="1164">
        <f t="shared" si="13"/>
        <v>0</v>
      </c>
      <c r="J23" s="1164">
        <f t="shared" si="13"/>
        <v>0</v>
      </c>
      <c r="K23" s="1164">
        <f t="shared" si="13"/>
        <v>0</v>
      </c>
      <c r="L23" s="1164">
        <f t="shared" si="13"/>
        <v>595</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17389</v>
      </c>
      <c r="X23" s="1164">
        <f t="shared" si="14"/>
        <v>522</v>
      </c>
      <c r="Y23" s="1165">
        <f t="shared" si="14"/>
        <v>17429</v>
      </c>
      <c r="Z23" s="1165">
        <f t="shared" si="14"/>
        <v>0</v>
      </c>
      <c r="AA23" s="1165">
        <f t="shared" si="14"/>
        <v>5501</v>
      </c>
      <c r="AB23" s="1165">
        <f t="shared" si="14"/>
        <v>557</v>
      </c>
      <c r="AC23" s="1165">
        <f t="shared" si="14"/>
        <v>6058</v>
      </c>
      <c r="AD23" s="1165">
        <f t="shared" si="14"/>
        <v>0</v>
      </c>
      <c r="AE23" s="1169">
        <f t="shared" si="14"/>
        <v>0</v>
      </c>
      <c r="AF23" s="1162">
        <f t="shared" si="14"/>
        <v>0</v>
      </c>
      <c r="AG23" s="1170">
        <f t="shared" si="14"/>
        <v>0</v>
      </c>
      <c r="AH23" s="1167">
        <f t="shared" si="14"/>
        <v>0</v>
      </c>
      <c r="AI23" s="1162">
        <f t="shared" si="14"/>
        <v>2502</v>
      </c>
      <c r="AJ23" s="1164">
        <f t="shared" si="14"/>
        <v>0</v>
      </c>
      <c r="AK23" s="1167">
        <f t="shared" si="14"/>
        <v>0</v>
      </c>
      <c r="AL23" s="1171">
        <f>IF(ISNUMBER(NºAsuntos!G23/NºAsuntos!E23),NºAsuntos!G23/NºAsuntos!E23," - ")</f>
        <v>0.96756064989984425</v>
      </c>
      <c r="AM23" s="1171">
        <f>IF(ISNUMBER(((NºAsuntos!I23/NºAsuntos!G23)*11)/factor_trimestre),((NºAsuntos!I23/NºAsuntos!G23)*11)/factor_trimestre," - ")</f>
        <v>3.4798435792742541</v>
      </c>
      <c r="AN23" s="1172">
        <f>IF(ISNUMBER('Resol  Asuntos'!D23/NºAsuntos!G23),'Resol  Asuntos'!D23/NºAsuntos!G23," - ")</f>
        <v>0.1438840646385646</v>
      </c>
      <c r="AO23" s="1173">
        <f>IF(ISNUMBER((NºAsuntos!C23+NºAsuntos!E23)/NºAsuntos!G23),(NºAsuntos!C23+NºAsuntos!E23)/NºAsuntos!G23," - ")</f>
        <v>1.3070331818966012</v>
      </c>
      <c r="AP23" s="1174" t="str">
        <f t="shared" si="2"/>
        <v xml:space="preserve"> - </v>
      </c>
      <c r="AQ23" s="1174">
        <f>IF(ISNUMBER((H23-W23+K23)/(F23)),(H23-W23+K23)/(F23)," - ")</f>
        <v>-3.6593013468013469</v>
      </c>
      <c r="AR23" s="1175">
        <f>IF(ISNUMBER((Datos!P23-Datos!Q23)/(Datos!R23-Datos!P23+Datos!Q23)),(Datos!P23-Datos!Q23)/(Datos!R23-Datos!P23+Datos!Q23)," - ")</f>
        <v>0.15082644628099173</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508</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509</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509</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15</v>
      </c>
      <c r="F31" s="1117">
        <f t="shared" si="20"/>
        <v>4880</v>
      </c>
      <c r="G31" s="1118">
        <f t="shared" si="20"/>
        <v>4884</v>
      </c>
      <c r="H31" s="1117">
        <f t="shared" si="20"/>
        <v>0</v>
      </c>
      <c r="I31" s="1119">
        <f t="shared" si="20"/>
        <v>0</v>
      </c>
      <c r="J31" s="1119">
        <f t="shared" si="20"/>
        <v>0</v>
      </c>
      <c r="K31" s="1180">
        <f t="shared" si="20"/>
        <v>0</v>
      </c>
      <c r="L31" s="1119">
        <f t="shared" si="20"/>
        <v>3894</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17586</v>
      </c>
      <c r="X31" s="1118">
        <f t="shared" si="21"/>
        <v>5080</v>
      </c>
      <c r="Y31" s="1125">
        <f t="shared" si="21"/>
        <v>22184</v>
      </c>
      <c r="Z31" s="1125">
        <f t="shared" si="21"/>
        <v>0</v>
      </c>
      <c r="AA31" s="1125">
        <f t="shared" si="21"/>
        <v>5660</v>
      </c>
      <c r="AB31" s="1125">
        <f t="shared" si="21"/>
        <v>12911</v>
      </c>
      <c r="AC31" s="1125">
        <f t="shared" si="21"/>
        <v>6333</v>
      </c>
      <c r="AD31" s="1125">
        <f t="shared" si="21"/>
        <v>0</v>
      </c>
      <c r="AE31" s="1127">
        <f t="shared" si="21"/>
        <v>0</v>
      </c>
      <c r="AF31" s="1128">
        <f t="shared" si="21"/>
        <v>0</v>
      </c>
      <c r="AG31" s="1129">
        <f t="shared" si="21"/>
        <v>0</v>
      </c>
      <c r="AH31" s="1127">
        <f t="shared" si="21"/>
        <v>0</v>
      </c>
      <c r="AI31" s="1117">
        <f t="shared" si="21"/>
        <v>6133</v>
      </c>
      <c r="AJ31" s="1117">
        <f t="shared" si="21"/>
        <v>0</v>
      </c>
      <c r="AK31" s="1127">
        <f t="shared" si="21"/>
        <v>0</v>
      </c>
      <c r="AL31" s="1183">
        <f>IF(ISNUMBER(NºAsuntos!G31/NºAsuntos!E31),NºAsuntos!G31/NºAsuntos!E31," - ")</f>
        <v>0.94997543565586795</v>
      </c>
      <c r="AM31" s="1184">
        <f>IF(ISNUMBER(((NºAsuntos!I31/NºAsuntos!G31)*11)/factor_trimestre),((NºAsuntos!I31/NºAsuntos!G31)*11)/factor_trimestre," - ")</f>
        <v>4.5104952543197863</v>
      </c>
      <c r="AN31" s="1184">
        <f>IF(ISNUMBER('Resol  Asuntos'!D31/NºAsuntos!G31),'Resol  Asuntos'!D31/NºAsuntos!G31," - ")</f>
        <v>0.1865721586760769</v>
      </c>
      <c r="AO31" s="1185">
        <f>IF(ISNUMBER((NºAsuntos!C31+NºAsuntos!E31)/NºAsuntos!G31),(NºAsuntos!C31+NºAsuntos!E31)/NºAsuntos!G31," - ")</f>
        <v>1.4292711121927477</v>
      </c>
      <c r="AP31" s="1186" t="str">
        <f t="shared" si="2"/>
        <v xml:space="preserve"> - </v>
      </c>
      <c r="AQ31" s="1187">
        <f>IF(OR(ISNUMBER(FIND("01",Criterios!A8,1)),ISNUMBER(FIND("02",Criterios!A8,1)),ISNUMBER(FIND("03",Criterios!A8,1)),ISNUMBER(FIND("04",Criterios!A8,1))),(I31-W31+K31)/(F31-K31),(H31-W31+K31)/(F31-K31))</f>
        <v>-3.6036885245901638</v>
      </c>
      <c r="AR31" s="1188">
        <f>IF(ISNUMBER((Datos!P31-Datos!Q31)/(Datos!R31-Datos!P31+Datos!Q31)),(Datos!P31-Datos!Q31)/(Datos!R31-Datos!P31+Datos!Q31)," - ")</f>
        <v>-8.413137546995815E-2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337</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1395.4285714285713</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338</v>
      </c>
      <c r="D33" s="384"/>
      <c r="E33" s="308">
        <f>IF(ISNUMBER(STDEV(E8:E30)),STDEV(E8:E30),"-")</f>
        <v>2.8735535390036615</v>
      </c>
      <c r="F33" s="276">
        <f>IF(ISNUMBER(STDEV(F8:F30)),STDEV(F8:F30),"-")</f>
        <v>2421.5494764027985</v>
      </c>
      <c r="G33" s="277">
        <f>IF(ISNUMBER(STDEV(G8:G30)),STDEV(G8:G30),"-")</f>
        <v>2240.4394551919836</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7948.7198729762531</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1442.2149015393725</v>
      </c>
      <c r="AJ33" s="276">
        <f t="shared" si="25"/>
        <v>0</v>
      </c>
      <c r="AK33" s="278">
        <f t="shared" si="25"/>
        <v>0</v>
      </c>
      <c r="AL33" s="273">
        <f t="shared" si="25"/>
        <v>5.0338066539601697E-2</v>
      </c>
      <c r="AM33" s="274">
        <f t="shared" si="25"/>
        <v>2.3283842057397992</v>
      </c>
      <c r="AN33" s="274">
        <f t="shared" si="25"/>
        <v>7.5932702238937791E-2</v>
      </c>
      <c r="AO33" s="275">
        <f t="shared" si="25"/>
        <v>0.24354118677209199</v>
      </c>
      <c r="AP33" s="317" t="str">
        <f t="shared" si="25"/>
        <v>-</v>
      </c>
      <c r="AQ33" s="318">
        <f t="shared" si="25"/>
        <v>1.4992352663083777</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542</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335</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336</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14 abr. 2023</v>
      </c>
      <c r="D42" s="130"/>
    </row>
    <row r="44" spans="1:52">
      <c r="C44" s="1"/>
      <c r="D44" s="1"/>
    </row>
  </sheetData>
  <sheetProtection algorithmName="SHA-512" hashValue="rIoy+rXdiZN47w4MkqD7oqQ/giyLZOToZcWFL5vUg7cXqBc8Bdnrlzuqce+Cdje+9YlxbQSSusK9yDii7aX9Sw==" saltValue="CYH4P7o28KW/BNEfMjG5Tw==" spinCount="100000" sheet="1" objects="1" scenarios="1"/>
  <mergeCells count="63">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 ref="A5:A7"/>
    <mergeCell ref="C5:C6"/>
    <mergeCell ref="F5:F7"/>
    <mergeCell ref="L5:L7"/>
    <mergeCell ref="D5:D7"/>
    <mergeCell ref="E5:E7"/>
    <mergeCell ref="G5:G7"/>
    <mergeCell ref="H5:H7"/>
    <mergeCell ref="K5:K7"/>
    <mergeCell ref="J5:J7"/>
    <mergeCell ref="I5:I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BM6:BM7"/>
    <mergeCell ref="BJ5:BK5"/>
    <mergeCell ref="BL5:BM5"/>
    <mergeCell ref="BK6:BK7"/>
    <mergeCell ref="BJ6:BJ7"/>
    <mergeCell ref="BL6:BL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CATALUÑA</v>
      </c>
      <c r="E2" s="287"/>
    </row>
    <row r="3" spans="2:20" ht="17.25" customHeight="1">
      <c r="C3" s="291"/>
      <c r="D3" s="286" t="str">
        <f>Criterios!A10 &amp;"  "&amp;Criterios!B10</f>
        <v>Provincias  LLEIDA</v>
      </c>
      <c r="E3" s="287"/>
    </row>
    <row r="4" spans="2:20" ht="17.25" customHeight="1" thickBot="1">
      <c r="D4" s="286" t="str">
        <f>Criterios!A11 &amp;"  "&amp;Criterios!B11</f>
        <v>Resumenes por Partidos Judiciales  LLEIDA</v>
      </c>
      <c r="E4" s="287"/>
    </row>
    <row r="5" spans="2:20" ht="12.75" customHeight="1">
      <c r="B5" s="297"/>
      <c r="C5" s="1671" t="str">
        <f>"Año:  " &amp;Criterios!B5 &amp; "          Trimestre   " &amp;Criterios!D5 &amp; " al " &amp;Criterios!D6</f>
        <v>Año:  2022          Trimestre   1 al 4</v>
      </c>
      <c r="D5" s="1659" t="s">
        <v>173</v>
      </c>
      <c r="E5" s="1701" t="s">
        <v>18</v>
      </c>
      <c r="F5" s="1698" t="s">
        <v>14</v>
      </c>
      <c r="G5" s="1695" t="s">
        <v>174</v>
      </c>
      <c r="H5" s="1692" t="s">
        <v>12</v>
      </c>
      <c r="I5" s="1656" t="s">
        <v>164</v>
      </c>
      <c r="J5" s="1685" t="s">
        <v>165</v>
      </c>
      <c r="K5" s="1647" t="s">
        <v>166</v>
      </c>
      <c r="M5" s="175"/>
      <c r="N5" s="183" t="s">
        <v>350</v>
      </c>
      <c r="O5" s="175"/>
      <c r="P5" s="175"/>
      <c r="Q5" s="184" t="s">
        <v>351</v>
      </c>
      <c r="R5" s="184"/>
      <c r="S5" s="182"/>
      <c r="T5" s="182"/>
    </row>
    <row r="6" spans="2:20" ht="12.75" customHeight="1">
      <c r="B6" s="298"/>
      <c r="C6" s="1672"/>
      <c r="D6" s="1660"/>
      <c r="E6" s="1702"/>
      <c r="F6" s="1699"/>
      <c r="G6" s="1696"/>
      <c r="H6" s="1693"/>
      <c r="I6" s="1657"/>
      <c r="J6" s="1686"/>
      <c r="K6" s="1648"/>
      <c r="M6" s="1688" t="s">
        <v>366</v>
      </c>
      <c r="N6" s="1688" t="s">
        <v>347</v>
      </c>
      <c r="O6" s="1688" t="s">
        <v>348</v>
      </c>
      <c r="P6" s="1688" t="s">
        <v>349</v>
      </c>
      <c r="Q6" s="1688" t="s">
        <v>366</v>
      </c>
      <c r="R6" s="1688" t="s">
        <v>347</v>
      </c>
      <c r="S6" s="1688" t="s">
        <v>348</v>
      </c>
      <c r="T6" s="1688" t="s">
        <v>349</v>
      </c>
    </row>
    <row r="7" spans="2:20" ht="23.25" customHeight="1" thickBot="1">
      <c r="B7" s="299"/>
      <c r="C7" s="288" t="str">
        <f>Datos!A7</f>
        <v>COMPETENCIAS</v>
      </c>
      <c r="D7" s="1704"/>
      <c r="E7" s="1703"/>
      <c r="F7" s="1700"/>
      <c r="G7" s="1697"/>
      <c r="H7" s="1694"/>
      <c r="I7" s="1705"/>
      <c r="J7" s="1689"/>
      <c r="K7" s="1690"/>
      <c r="M7" s="1688"/>
      <c r="N7" s="1688"/>
      <c r="O7" s="1688"/>
      <c r="P7" s="1688"/>
      <c r="Q7" s="1688"/>
      <c r="R7" s="1688"/>
      <c r="S7" s="1688"/>
      <c r="T7" s="1688"/>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317</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f>IF(ISNUMBER((Datos!M9-Datos!W9)/Datos!W9),(Datos!M9-Datos!W9)/Datos!W9," - ")</f>
        <v>0.10347376201034737</v>
      </c>
      <c r="I9" s="395">
        <f>IF(ISNUMBER((Tasas!C9-Datos!BE9)/Datos!BE9),(Tasas!C9-Datos!BE9)/Datos!BE9," - ")</f>
        <v>9.4958021890263027E-3</v>
      </c>
      <c r="J9" s="394">
        <f>IF(ISNUMBER((Tasas!D9-Datos!BF9)/Datos!BF9),(Tasas!D9-Datos!BF9)/Datos!BF9," - ")</f>
        <v>-0.36183557766580271</v>
      </c>
      <c r="K9" s="396">
        <f>IF(ISNUMBER((Tasas!E9-Datos!BG9)/Datos!BG9),(Tasas!E9-Datos!BG9)/Datos!BG9," - ")</f>
        <v>-2.2136675087329801E-3</v>
      </c>
      <c r="M9" t="e">
        <f>IF(Monitorios="SI",Datos!CE9,0)</f>
        <v>#REF!</v>
      </c>
      <c r="N9" t="e">
        <f>IF(Monitorios="SI",Datos!CF9,0)</f>
        <v>#REF!</v>
      </c>
      <c r="O9" t="e">
        <f>IF(Monitorios="SI",Datos!CG9,0)</f>
        <v>#REF!</v>
      </c>
      <c r="P9" t="e">
        <f>IF(Monitorios="SI",Datos!CH9,0)</f>
        <v>#REF!</v>
      </c>
      <c r="Q9">
        <f>IF(J_V="SI",0,Datos!AG9)</f>
        <v>172</v>
      </c>
      <c r="R9">
        <f>IF(J_V="SI",0,Datos!AH9)</f>
        <v>421</v>
      </c>
      <c r="S9">
        <f>IF(J_V="SI",0,Datos!AI9)</f>
        <v>465</v>
      </c>
      <c r="T9">
        <f>IF(J_V="SI",0,Datos!AJ9)</f>
        <v>125</v>
      </c>
    </row>
    <row r="10" spans="2:20" ht="14.25">
      <c r="B10" s="300" t="s">
        <v>317</v>
      </c>
      <c r="C10" s="7" t="str">
        <f>Datos!A10</f>
        <v>Jdos. Violencia contra la mujer</v>
      </c>
      <c r="D10" s="397">
        <f>IF(ISNUMBER((Datos!I10-Datos!S10)/Datos!S10),(Datos!I10-Datos!S10)/Datos!S10," - ")</f>
        <v>2.4E-2</v>
      </c>
      <c r="E10" s="393">
        <f>IF(ISNUMBER((Datos!J10-Datos!T10)/Datos!T10),(Datos!J10-Datos!T10)/Datos!T10," - ")</f>
        <v>0.12871287128712872</v>
      </c>
      <c r="F10" s="393">
        <f>IF(ISNUMBER((Datos!K10-Datos!U10)/Datos!U10),(Datos!K10-Datos!U10)/Datos!U10," - ")</f>
        <v>-5.7416267942583733E-2</v>
      </c>
      <c r="G10" s="394">
        <f>IF(ISNUMBER((Datos!L10-Datos!V10)/Datos!V10),(Datos!L10-Datos!V10)/Datos!V10," - ")</f>
        <v>0.2421875</v>
      </c>
      <c r="H10" s="244">
        <f>IF(ISNUMBER((Datos!M10-Datos!W10)/Datos!W10),(Datos!M10-Datos!W10)/Datos!W10," - ")</f>
        <v>-0.12345679012345678</v>
      </c>
      <c r="I10" s="395">
        <f>IF(ISNUMBER((Tasas!C10-Datos!BE10)/Datos!BE10),(Tasas!C10-Datos!BE10)/Datos!BE10," - ")</f>
        <v>0.31785374365482233</v>
      </c>
      <c r="J10" s="394">
        <f>IF(ISNUMBER((Tasas!D10-Datos!BF10)/Datos!BF10),(Tasas!D10-Datos!BF10)/Datos!BF10," - ")</f>
        <v>-7.0063295105596279E-2</v>
      </c>
      <c r="K10" s="396">
        <f>IF(ISNUMBER((Tasas!E10-Datos!BG10)/Datos!BG10),(Tasas!E10-Datos!BG10)/Datos!BG10," - ")</f>
        <v>0.1550008537853739</v>
      </c>
    </row>
    <row r="11" spans="2:20" ht="14.25">
      <c r="B11" s="300" t="s">
        <v>317</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f>IF(ISNUMBER((Datos!M11-Datos!W11)/Datos!W11),(Datos!M11-Datos!W11)/Datos!W11," - ")</f>
        <v>-0.20055710306406685</v>
      </c>
      <c r="I11" s="395">
        <f>IF(ISNUMBER((Tasas!C11-Datos!BE11)/Datos!BE11),(Tasas!C11-Datos!BE11)/Datos!BE11," - ")</f>
        <v>-0.35455079353859659</v>
      </c>
      <c r="J11" s="394">
        <f>IF(ISNUMBER((Tasas!D11-Datos!BF11)/Datos!BF11),(Tasas!D11-Datos!BF11)/Datos!BF11," - ")</f>
        <v>-0.62789059593309215</v>
      </c>
      <c r="K11" s="396">
        <f>IF(ISNUMBER((Tasas!E11-Datos!BG11)/Datos!BG11),(Tasas!E11-Datos!BG11)/Datos!BG11," - ")</f>
        <v>0.23924905834151469</v>
      </c>
      <c r="M11" t="e">
        <f>IF(Monitorios="SI",Datos!CE11,0)</f>
        <v>#REF!</v>
      </c>
      <c r="N11" t="e">
        <f>IF(Monitorios="SI",Datos!CF11,0)</f>
        <v>#REF!</v>
      </c>
      <c r="O11" t="e">
        <f>IF(Monitorios="SI",Datos!CG11,0)</f>
        <v>#REF!</v>
      </c>
      <c r="P11" t="e">
        <f>IF(Monitorios="SI",Datos!CH11,0)</f>
        <v>#REF!</v>
      </c>
      <c r="Q11">
        <f>IF(J_V="SI",0,Datos!AG11)</f>
        <v>629</v>
      </c>
      <c r="R11">
        <f>IF(J_V="SI",0,Datos!AH11)</f>
        <v>1823</v>
      </c>
      <c r="S11">
        <f>IF(J_V="SI",0,Datos!AI11)</f>
        <v>1839</v>
      </c>
      <c r="T11">
        <f>IF(J_V="SI",0,Datos!AJ11)</f>
        <v>1096</v>
      </c>
    </row>
    <row r="12" spans="2:20" ht="14.25">
      <c r="B12" s="300" t="s">
        <v>317</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t="str">
        <f>IF(ISNUMBER((Datos!M12-Datos!W12)/Datos!W12),(Datos!M12-Datos!W12)/Datos!W12," - ")</f>
        <v xml:space="preserve"> - </v>
      </c>
      <c r="I12" s="395" t="str">
        <f>IF(ISNUMBER((Tasas!C12-Datos!BE12)/Datos!BE12),(Tasas!C12-Datos!BE12)/Datos!BE12," - ")</f>
        <v xml:space="preserve"> - </v>
      </c>
      <c r="J12" s="394" t="str">
        <f>IF(ISNUMBER((Tasas!D12-Datos!BF12)/Datos!BF12),(Tasas!D12-Datos!BF12)/Datos!BF12," - ")</f>
        <v xml:space="preserve"> - </v>
      </c>
      <c r="K12" s="396"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5" thickBot="1">
      <c r="B13" s="300" t="s">
        <v>317</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3.5948644793152636E-2</v>
      </c>
      <c r="I14" s="402">
        <f>IF(ISNUMBER((Tasas!C14-Datos!BE14)/Datos!BE14),(Tasas!C14-Datos!BE14)/Datos!BE14," - ")</f>
        <v>-5.0485845796821957E-2</v>
      </c>
      <c r="J14" s="400">
        <f>IF(ISNUMBER((Tasas!D14-Datos!BF14)/Datos!BF14),(Tasas!D14-Datos!BF14)/Datos!BF14," - ")</f>
        <v>-0.45252490928686528</v>
      </c>
      <c r="K14" s="403">
        <f>IF(ISNUMBER((Tasas!E14-Datos!BG14)/Datos!BG14),(Tasas!E14-Datos!BG14)/Datos!BG14," - ")</f>
        <v>4.1874524242878672E-2</v>
      </c>
      <c r="M14" t="e">
        <f>IF(Monitorios="SI",Datos!CE14,0)</f>
        <v>#REF!</v>
      </c>
      <c r="N14" t="e">
        <f>IF(Monitorios="SI",Datos!CF14,0)</f>
        <v>#REF!</v>
      </c>
      <c r="O14" t="e">
        <f>IF(Monitorios="SI",Datos!CG14,0)</f>
        <v>#REF!</v>
      </c>
      <c r="P14" t="e">
        <f>IF(Monitorios="SI",Datos!CH14,0)</f>
        <v>#REF!</v>
      </c>
      <c r="Q14">
        <f>IF(J_V="SI",0,Datos!AG14)</f>
        <v>801</v>
      </c>
      <c r="R14">
        <f>IF(J_V="SI",0,Datos!AH14)</f>
        <v>2244</v>
      </c>
      <c r="S14">
        <f>IF(J_V="SI",0,Datos!AI14)</f>
        <v>2304</v>
      </c>
      <c r="T14">
        <f>IF(J_V="SI",0,Datos!AJ14)</f>
        <v>1221</v>
      </c>
    </row>
    <row r="15" spans="2:20" ht="15" thickTop="1">
      <c r="B15" s="192"/>
      <c r="C15" s="73" t="str">
        <f>Datos!A15</f>
        <v xml:space="preserve">Jurisdicción Penal ( 2 ):                      </v>
      </c>
      <c r="D15" s="269"/>
      <c r="E15" s="270"/>
      <c r="F15" s="270"/>
      <c r="G15" s="270"/>
      <c r="H15" s="295"/>
      <c r="I15" s="270"/>
      <c r="J15" s="270"/>
      <c r="K15" s="313"/>
    </row>
    <row r="16" spans="2:20" ht="14.25">
      <c r="B16" s="300" t="s">
        <v>507</v>
      </c>
      <c r="C16" s="7" t="str">
        <f>Datos!A16</f>
        <v xml:space="preserve">Jdos. Instrucción                               </v>
      </c>
      <c r="D16" s="397">
        <f>IF(ISNUMBER(
   IF(D_I="SI",(Datos!I16-Datos!S16)/Datos!S16,(Datos!I16+Datos!AC16-(Datos!S16+Datos!AK16))/(Datos!S16+Datos!AK16))
     ),IF(D_I="SI",(Datos!I16-Datos!S16)/Datos!S16,(Datos!I16+Datos!AC16-(Datos!S16+Datos!AK16))/(Datos!S16+Datos!AK16))," - ")</f>
        <v>7.1929005137786078E-2</v>
      </c>
      <c r="E16" s="393">
        <f>IF(ISNUMBER(
   IF(D_I="SI",(Datos!J16-Datos!T16)/Datos!T16,(Datos!J16+Datos!AD16-(Datos!T16+Datos!AL16))/(Datos!T16+Datos!AL16))
     ),IF(D_I="SI",(Datos!J16-Datos!T16)/Datos!T16,(Datos!J16+Datos!AD16-(Datos!T16+Datos!AL16))/(Datos!T16+Datos!AL16))," - ")</f>
        <v>9.5081967213114751E-2</v>
      </c>
      <c r="F16" s="393">
        <f>IF(ISNUMBER(
   IF(D_I="SI",(Datos!K16-Datos!U16)/Datos!U16,(Datos!K16+Datos!AE16-(Datos!U16+Datos!AM16))/(Datos!U16+Datos!AM16))
     ),IF(D_I="SI",(Datos!K16-Datos!U16)/Datos!U16,(Datos!K16+Datos!AE16-(Datos!U16+Datos!AM16))/(Datos!U16+Datos!AM16))," - ")</f>
        <v>6.7232551872810561E-2</v>
      </c>
      <c r="G16" s="394">
        <f>IF(ISNUMBER(
   IF(D_I="SI",(Datos!L16-Datos!V16)/Datos!V16,(Datos!L16+Datos!AF16-(Datos!V16+Datos!AN16))/(Datos!V16+Datos!AN16))
     ),IF(D_I="SI",(Datos!L16-Datos!V16)/Datos!V16,(Datos!L16+Datos!AF16-(Datos!V16+Datos!AN16))/(Datos!V16+Datos!AN16))," - ")</f>
        <v>0.1494553376906318</v>
      </c>
      <c r="H16" s="244">
        <f>IF(ISNUMBER((Datos!M16-Datos!W16)/Datos!W16),(Datos!M16-Datos!W16)/Datos!W16," - ")</f>
        <v>4.3884220354808587E-2</v>
      </c>
      <c r="I16" s="395">
        <f>IF(ISNUMBER((Tasas!C16-Datos!BE16)/Datos!BE16),(Tasas!C16-Datos!BE16)/Datos!BE16," - ")</f>
        <v>7.7042989059445621E-2</v>
      </c>
      <c r="J16" s="394">
        <f>IF(ISNUMBER((Tasas!D16-Datos!BF16)/Datos!BF16),(Tasas!D16-Datos!BF16)/Datos!BF16," - ")</f>
        <v>-2.1877454428305888E-2</v>
      </c>
      <c r="K16" s="396">
        <f>IF(ISNUMBER((Tasas!E16-Datos!BG16)/Datos!BG16),(Tasas!E16-Datos!BG16)/Datos!BG16," - ")</f>
        <v>2.1263475809419362E-2</v>
      </c>
    </row>
    <row r="17" spans="2:20" ht="14.25">
      <c r="B17" s="300" t="s">
        <v>507</v>
      </c>
      <c r="C17" s="7" t="str">
        <f>Datos!A17</f>
        <v xml:space="preserve">Jdos. 1ª Instª. e Instr.                        </v>
      </c>
      <c r="D17" s="397" t="str">
        <f>IF(ISNUMBER(
   IF(D_I="SI",(Datos!I17-Datos!S17)/Datos!S17,(Datos!I17+Datos!AC17-(Datos!S17+Datos!AK17))/(Datos!S17+Datos!AK17))
     ),IF(D_I="SI",(Datos!I17-Datos!S17)/Datos!S17,(Datos!I17+Datos!AC17-(Datos!S17+Datos!AK17))/(Datos!S17+Datos!AK17))," - ")</f>
        <v xml:space="preserve"> - </v>
      </c>
      <c r="E17" s="393" t="str">
        <f>IF(ISNUMBER(
   IF(D_I="SI",(Datos!J17-Datos!T17)/Datos!T17,(Datos!J17+Datos!AD17-(Datos!T17+Datos!AL17))/(Datos!T17+Datos!AL17))
     ),IF(D_I="SI",(Datos!J17-Datos!T17)/Datos!T17,(Datos!J17+Datos!AD17-(Datos!T17+Datos!AL17))/(Datos!T17+Datos!AL17))," - ")</f>
        <v xml:space="preserve"> - </v>
      </c>
      <c r="F17" s="393" t="str">
        <f>IF(ISNUMBER(
   IF(D_I="SI",(Datos!K17-Datos!U17)/Datos!U17,(Datos!K17+Datos!AE17-(Datos!U17+Datos!AM17))/(Datos!U17+Datos!AM17))
     ),IF(D_I="SI",(Datos!K17-Datos!U17)/Datos!U17,(Datos!K17+Datos!AE17-(Datos!U17+Datos!AM17))/(Datos!U17+Datos!AM17))," - ")</f>
        <v xml:space="preserve"> - </v>
      </c>
      <c r="G17" s="394" t="str">
        <f>IF(ISNUMBER(
   IF(D_I="SI",(Datos!L17-Datos!V17)/Datos!V17,(Datos!L17+Datos!AF17-(Datos!V17+Datos!AN17))/(Datos!V17+Datos!AN17))
     ),IF(D_I="SI",(Datos!L17-Datos!V17)/Datos!V17,(Datos!L17+Datos!AF17-(Datos!V17+Datos!AN17))/(Datos!V17+Datos!AN17))," - ")</f>
        <v xml:space="preserve"> - </v>
      </c>
      <c r="H17" s="244" t="str">
        <f>IF(ISNUMBER((Datos!M17-Datos!W17)/Datos!W17),(Datos!M17-Datos!W17)/Datos!W17," - ")</f>
        <v xml:space="preserve"> - </v>
      </c>
      <c r="I17" s="395" t="str">
        <f>IF(ISNUMBER((Tasas!C17-Datos!BE17)/Datos!BE17),(Tasas!C17-Datos!BE17)/Datos!BE17," - ")</f>
        <v xml:space="preserve"> - </v>
      </c>
      <c r="J17" s="394" t="str">
        <f>IF(ISNUMBER((Tasas!D17-Datos!BF17)/Datos!BF17),(Tasas!D17-Datos!BF17)/Datos!BF17," - ")</f>
        <v xml:space="preserve"> - </v>
      </c>
      <c r="K17" s="396" t="str">
        <f>IF(ISNUMBER((Tasas!E17-Datos!BG17)/Datos!BG17),(Tasas!E17-Datos!BG17)/Datos!BG17," - ")</f>
        <v xml:space="preserve"> - </v>
      </c>
    </row>
    <row r="18" spans="2:20" ht="14.25">
      <c r="B18" s="300" t="s">
        <v>507</v>
      </c>
      <c r="C18" s="7" t="str">
        <f>Datos!A18</f>
        <v>Jdos. Violencia contra la mujer</v>
      </c>
      <c r="D18" s="397">
        <f>IF(ISNUMBER(
   IF(D_I="SI",(Datos!I18-Datos!S18)/Datos!S18,(Datos!I18+Datos!AC18-(Datos!S18+Datos!AK18))/(Datos!S18+Datos!AK18))
     ),IF(D_I="SI",(Datos!I18-Datos!S18)/Datos!S18,(Datos!I18+Datos!AC18-(Datos!S18+Datos!AK18))/(Datos!S18+Datos!AK18))," - ")</f>
        <v>-0.14432989690721648</v>
      </c>
      <c r="E18" s="393">
        <f>IF(ISNUMBER(
   IF(D_I="SI",(Datos!J18-Datos!T18)/Datos!T18,(Datos!J18+Datos!AD18-(Datos!T18+Datos!AL18))/(Datos!T18+Datos!AL18))
     ),IF(D_I="SI",(Datos!J18-Datos!T18)/Datos!T18,(Datos!J18+Datos!AD18-(Datos!T18+Datos!AL18))/(Datos!T18+Datos!AL18))," - ")</f>
        <v>4.7619047619047616E-2</v>
      </c>
      <c r="F18" s="393">
        <f>IF(ISNUMBER(
   IF(D_I="SI",(Datos!K18-Datos!U18)/Datos!U18,(Datos!K18+Datos!AE18-(Datos!U18+Datos!AM18))/(Datos!U18+Datos!AM18))
     ),IF(D_I="SI",(Datos!K18-Datos!U18)/Datos!U18,(Datos!K18+Datos!AE18-(Datos!U18+Datos!AM18))/(Datos!U18+Datos!AM18))," - ")</f>
        <v>-1.7777777777777778E-2</v>
      </c>
      <c r="G18" s="394">
        <f>IF(ISNUMBER(
   IF(D_I="SI",(Datos!L18-Datos!V18)/Datos!V18,(Datos!L18+Datos!AF18-(Datos!V18+Datos!AN18))/(Datos!V18+Datos!AN18))
     ),IF(D_I="SI",(Datos!L18-Datos!V18)/Datos!V18,(Datos!L18+Datos!AF18-(Datos!V18+Datos!AN18))/(Datos!V18+Datos!AN18))," - ")</f>
        <v>0.35542168674698793</v>
      </c>
      <c r="H18" s="244">
        <f>IF(ISNUMBER((Datos!M18-Datos!W18)/Datos!W18),(Datos!M18-Datos!W18)/Datos!W18," - ")</f>
        <v>1.9157088122605363E-2</v>
      </c>
      <c r="I18" s="395">
        <f>IF(ISNUMBER((Tasas!C18-Datos!BE18)/Datos!BE18),(Tasas!C18-Datos!BE18)/Datos!BE18," - ")</f>
        <v>0.37995420596412816</v>
      </c>
      <c r="J18" s="394">
        <f>IF(ISNUMBER((Tasas!D18-Datos!BF18)/Datos!BF18),(Tasas!D18-Datos!BF18)/Datos!BF18," - ")</f>
        <v>3.7603370260571145E-2</v>
      </c>
      <c r="K18" s="396">
        <f>IF(ISNUMBER((Tasas!E18-Datos!BG18)/Datos!BG18),(Tasas!E18-Datos!BG18)/Datos!BG18," - ")</f>
        <v>4.4627908621913875E-2</v>
      </c>
    </row>
    <row r="19" spans="2:20" ht="14.25">
      <c r="B19" s="300" t="s">
        <v>507</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507</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507</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507</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6.2555853440571935E-2</v>
      </c>
      <c r="E23" s="399">
        <f>IF(ISNUMBER(
   IF(D_I="SI",(Datos!J23-Datos!T23)/Datos!T23,(Datos!J23+Datos!AD23-(Datos!T23+Datos!AL23))/(Datos!T23+Datos!AL23))
     ),IF(D_I="SI",(Datos!J23-Datos!T23)/Datos!T23,(Datos!J23+Datos!AD23-(Datos!T23+Datos!AL23))/(Datos!T23+Datos!AL23))," - ")</f>
        <v>9.0666343002791597E-2</v>
      </c>
      <c r="F23" s="399">
        <f>IF(ISNUMBER(
   IF(D_I="SI",(Datos!K23-Datos!U23)/Datos!U23,(Datos!K23+Datos!AE23-(Datos!U23+Datos!AM23))/(Datos!U23+Datos!AM23))
     ),IF(D_I="SI",(Datos!K23-Datos!U23)/Datos!U23,(Datos!K23+Datos!AE23-(Datos!U23+Datos!AM23))/(Datos!U23+Datos!AM23))," - ")</f>
        <v>5.9077897557707537E-2</v>
      </c>
      <c r="G23" s="400">
        <f>IF(ISNUMBER(
   IF(D_I="SI",(Datos!L23-Datos!V23)/Datos!V23,(Datos!L23+Datos!AF23-(Datos!V23+Datos!AN23))/(Datos!V23+Datos!AN23))
     ),IF(D_I="SI",(Datos!L23-Datos!V23)/Datos!V23,(Datos!L23+Datos!AF23-(Datos!V23+Datos!AN23))/(Datos!V23+Datos!AN23))," - ")</f>
        <v>0.15664423885618167</v>
      </c>
      <c r="H23" s="401">
        <f>IF(ISNUMBER((Datos!M23-Datos!W23)/Datos!W23),(Datos!M23-Datos!W23)/Datos!W23," - ")</f>
        <v>4.1198501872659173E-2</v>
      </c>
      <c r="I23" s="402">
        <f>IF(ISNUMBER((Tasas!C23-Datos!BE23)/Datos!BE23),(Tasas!C23-Datos!BE23)/Datos!BE23," - ")</f>
        <v>9.2123857483446356E-2</v>
      </c>
      <c r="J23" s="400">
        <f>IF(ISNUMBER((Tasas!D23-Datos!BF23)/Datos!BF23),(Tasas!D23-Datos!BF23)/Datos!BF23," - ")</f>
        <v>-1.6882040241118491E-2</v>
      </c>
      <c r="K23" s="403">
        <f>IF(ISNUMBER((Tasas!E23-Datos!BG23)/Datos!BG23),(Tasas!E23-Datos!BG23)/Datos!BG23," - ")</f>
        <v>2.4156619908384844E-2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508</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509</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509</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3.4079518877380553E-2</v>
      </c>
      <c r="E31" s="409">
        <f>IF(ISNUMBER(
   IF(J_V="SI",(Datos!J31-Datos!T31)/Datos!T31,(Datos!J31+Datos!Z31-(Datos!T31+Datos!AH31))/(Datos!T31+Datos!AH31))
     ),IF(J_V="SI",(Datos!J31-Datos!T31)/Datos!T31,(Datos!J31+Datos!Z31-(Datos!T31+Datos!AH31))/(Datos!T31+Datos!AH31))," - ")</f>
        <v>0.14937221816249252</v>
      </c>
      <c r="F31" s="409">
        <f>IF(ISNUMBER(
   IF(J_V="SI",(Datos!K31-Datos!U31)/Datos!U31,(Datos!K31+Datos!AA31-(Datos!U31+Datos!AI31))/(Datos!U31+Datos!AI31))
     ),IF(J_V="SI",(Datos!K31-Datos!U31)/Datos!U31,(Datos!K31+Datos!AA31-(Datos!U31+Datos!AI31))/(Datos!U31+Datos!AI31))," - ")</f>
        <v>7.8902455034790597E-2</v>
      </c>
      <c r="G31" s="410">
        <f>IF(ISNUMBER(
   IF(J_V="SI",(Datos!L31-Datos!V31)/Datos!V31,(Datos!L31+Datos!AB31-(Datos!V31+Datos!AJ31))/(Datos!V31+Datos!AJ31))
     ),IF(J_V="SI",(Datos!L31-Datos!V31)/Datos!V31,(Datos!L31+Datos!AB31-(Datos!V31+Datos!AJ31))/(Datos!V31+Datos!AJ31))," - ")</f>
        <v>8.8772213247172854E-2</v>
      </c>
      <c r="H31" s="411">
        <f>IF(ISNUMBER((Datos!M31-Datos!W31)/Datos!W31),(Datos!M31-Datos!W31)/Datos!W31," - ")</f>
        <v>3.8083953960731214E-2</v>
      </c>
      <c r="I31" s="408">
        <f>IF(ISNUMBER((Tasas!C31-Datos!BE31)/Datos!BE31),(Tasas!C31-Datos!BE31)/Datos!BE31," - ")</f>
        <v>9.1479615847792801E-3</v>
      </c>
      <c r="J31" s="409">
        <f>IF(ISNUMBER((Tasas!D31-Datos!BF31)/Datos!BF31),(Tasas!D31-Datos!BF31)/Datos!BF31," - ")</f>
        <v>-0.32496371802129065</v>
      </c>
      <c r="K31" s="410">
        <f>IF(ISNUMBER((Tasas!E31-Datos!BG31)/Datos!BG31),(Tasas!E31-Datos!BG31)/Datos!BG31," - ")</f>
        <v>3.4912121447992737E-2</v>
      </c>
    </row>
    <row r="32" spans="2:20" ht="15.75" customHeight="1" thickTop="1" thickBot="1">
      <c r="B32" s="180"/>
      <c r="C32" s="1102" t="s">
        <v>337</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338</v>
      </c>
      <c r="D33" s="302">
        <f t="shared" ref="D33:K33" si="1">IF(ISNUMBER( STDEV(D8:D30)),STDEV(D8:D30)," - ")</f>
        <v>0.10073735650369867</v>
      </c>
      <c r="E33" s="303">
        <f t="shared" si="1"/>
        <v>3.3266700535033562E-2</v>
      </c>
      <c r="F33" s="303">
        <f t="shared" si="1"/>
        <v>6.0470018842053289E-2</v>
      </c>
      <c r="G33" s="304">
        <f t="shared" si="1"/>
        <v>9.6057784490854434E-2</v>
      </c>
      <c r="H33" s="310">
        <f t="shared" si="1"/>
        <v>0.10842174504412277</v>
      </c>
      <c r="I33" s="302">
        <f t="shared" si="1"/>
        <v>0.24372590052960547</v>
      </c>
      <c r="J33" s="303">
        <f t="shared" si="1"/>
        <v>0.26134565820450723</v>
      </c>
      <c r="K33" s="304">
        <f t="shared" si="1"/>
        <v>8.8347901082044808E-2</v>
      </c>
    </row>
    <row r="34" spans="2:13" ht="13.5" thickTop="1">
      <c r="C34" s="1691"/>
      <c r="D34" s="1691"/>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335</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336</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14 abr.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zD1fZjGh4W6nbLV29i5v7OsmffzclUrd/pTHArMHYdy7v+qVu8iBQRwn0JteqUbrH2qbvqdwR8XjSp5AhW6s5g==" saltValue="yDOKLIpO3FU7xUYQA8h4Mw==" spinCount="100000" sheet="1" objects="1" scenarios="1"/>
  <mergeCells count="18">
    <mergeCell ref="J5:J7"/>
    <mergeCell ref="K5:K7"/>
    <mergeCell ref="C34:D34"/>
    <mergeCell ref="C5:C6"/>
    <mergeCell ref="H5:H7"/>
    <mergeCell ref="G5:G7"/>
    <mergeCell ref="F5:F7"/>
    <mergeCell ref="E5:E7"/>
    <mergeCell ref="D5:D7"/>
    <mergeCell ref="I5:I7"/>
    <mergeCell ref="R6:R7"/>
    <mergeCell ref="S6:S7"/>
    <mergeCell ref="T6:T7"/>
    <mergeCell ref="M6:M7"/>
    <mergeCell ref="Q6:Q7"/>
    <mergeCell ref="N6:N7"/>
    <mergeCell ref="O6:O7"/>
    <mergeCell ref="P6:P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2023-04-14T21:21:22Z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